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2120" windowHeight="4305" activeTab="0"/>
  </bookViews>
  <sheets>
    <sheet name="PL_QTRSep03" sheetId="1" r:id="rId1"/>
    <sheet name="BS_Sep03" sheetId="2" r:id="rId2"/>
    <sheet name="cieSep03" sheetId="3" r:id="rId3"/>
    <sheet name="cashflwSep03" sheetId="4" r:id="rId4"/>
  </sheets>
  <externalReferences>
    <externalReference r:id="rId7"/>
    <externalReference r:id="rId8"/>
  </externalReferences>
  <definedNames>
    <definedName name="_xlnm.Print_Area" localSheetId="1">'BS_Sep03'!$B$1:$S$55</definedName>
    <definedName name="_xlnm.Print_Area" localSheetId="3">'cashflwSep03'!$A$1:$N$71</definedName>
    <definedName name="_xlnm.Print_Area" localSheetId="2">'cieSep03'!$B$2:$O$27</definedName>
    <definedName name="_xlnm.Print_Area" localSheetId="0">'PL_QTRSep03'!$B$2:$R$53</definedName>
  </definedNames>
  <calcPr fullCalcOnLoad="1"/>
</workbook>
</file>

<file path=xl/comments2.xml><?xml version="1.0" encoding="utf-8"?>
<comments xmlns="http://schemas.openxmlformats.org/spreadsheetml/2006/main">
  <authors>
    <author>ygKenny</author>
  </authors>
  <commentList>
    <comment ref="L43" authorId="0">
      <text>
        <r>
          <rPr>
            <b/>
            <sz val="8"/>
            <rFont val="Tahoma"/>
            <family val="0"/>
          </rPr>
          <t>ygKenny:</t>
        </r>
        <r>
          <rPr>
            <sz val="8"/>
            <rFont val="Tahoma"/>
            <family val="0"/>
          </rPr>
          <t xml:space="preserve">
129,132, FMSB - Difference btw 30/9 and 30/6.
</t>
        </r>
      </text>
    </comment>
  </commentList>
</comments>
</file>

<file path=xl/sharedStrings.xml><?xml version="1.0" encoding="utf-8"?>
<sst xmlns="http://schemas.openxmlformats.org/spreadsheetml/2006/main" count="213" uniqueCount="173">
  <si>
    <t>Profit before taxation</t>
  </si>
  <si>
    <t>Depreciation</t>
  </si>
  <si>
    <t>Interest expense</t>
  </si>
  <si>
    <t>Total</t>
  </si>
  <si>
    <t>Webtex</t>
  </si>
  <si>
    <t>FIPB</t>
  </si>
  <si>
    <t>Furniweb Industrial Products Bhd</t>
  </si>
  <si>
    <t>(B)</t>
  </si>
  <si>
    <t>(C)</t>
  </si>
  <si>
    <t>FMSB Group</t>
  </si>
  <si>
    <t>Texstrip</t>
  </si>
  <si>
    <t>FEC</t>
  </si>
  <si>
    <t>Inter Co Bal Adj</t>
  </si>
  <si>
    <t>Current Assets</t>
  </si>
  <si>
    <t>Tax Recoverable</t>
  </si>
  <si>
    <t>Amt. owing by rel. coy.</t>
  </si>
  <si>
    <t>Current Liabilities</t>
  </si>
  <si>
    <t>Amt. owing to rel. coy.</t>
  </si>
  <si>
    <t>Amount owing to directors</t>
  </si>
  <si>
    <t>Short term borrowings</t>
  </si>
  <si>
    <t>Dividend Payable</t>
  </si>
  <si>
    <t>Net Assets/(Liabilities)</t>
  </si>
  <si>
    <t>Expenditure C/F</t>
  </si>
  <si>
    <t>Share Capital</t>
  </si>
  <si>
    <t>Share Premium</t>
  </si>
  <si>
    <t>Revaluation Reserve</t>
  </si>
  <si>
    <t>Foreign Fluct. Reserve</t>
  </si>
  <si>
    <t>Other Reserves</t>
  </si>
  <si>
    <t>Retained Profits</t>
  </si>
  <si>
    <t>Minority Interest</t>
  </si>
  <si>
    <t>L.Term &amp; D. Liabilities</t>
  </si>
  <si>
    <t>Term Loan</t>
  </si>
  <si>
    <t>HP Creditors</t>
  </si>
  <si>
    <t>Deferred Tax</t>
  </si>
  <si>
    <t>Net Tangible Assets Per Share - RM</t>
  </si>
  <si>
    <t>Net Tangible Assets</t>
  </si>
  <si>
    <t>Value of Newco Shares Issue at</t>
  </si>
  <si>
    <t xml:space="preserve">Exchange for New shares </t>
  </si>
  <si>
    <t>New Shares Issued</t>
  </si>
  <si>
    <t>PGSB</t>
  </si>
  <si>
    <t>RM</t>
  </si>
  <si>
    <t>PEWA</t>
  </si>
  <si>
    <t>FIPB Group</t>
  </si>
  <si>
    <t>Furniweb Industrial Products Berhad</t>
  </si>
  <si>
    <t>Revenue</t>
  </si>
  <si>
    <t>Finance cost</t>
  </si>
  <si>
    <t>Share of profits of associated</t>
  </si>
  <si>
    <t>companies</t>
  </si>
  <si>
    <t>Property, plant and equipment</t>
  </si>
  <si>
    <t>Investment in associated companies</t>
  </si>
  <si>
    <t>Intangible assets</t>
  </si>
  <si>
    <t>Other long term assets</t>
  </si>
  <si>
    <t>Other investments</t>
  </si>
  <si>
    <t>Investment in subsidiary companies</t>
  </si>
  <si>
    <t>Inventories</t>
  </si>
  <si>
    <t>Trade receivables</t>
  </si>
  <si>
    <t>Cash and bank balances</t>
  </si>
  <si>
    <t>Fixed deposits with licensed bank</t>
  </si>
  <si>
    <t>Other receivables</t>
  </si>
  <si>
    <t>Trade payables</t>
  </si>
  <si>
    <t>Other payables</t>
  </si>
  <si>
    <t>Provision for taxation</t>
  </si>
  <si>
    <t>Dividend receivables</t>
  </si>
  <si>
    <t>Adjustments for :</t>
  </si>
  <si>
    <t>Interest income</t>
  </si>
  <si>
    <t>Share of profit in jointly controlled entity</t>
  </si>
  <si>
    <t>Provision for doubtful debts</t>
  </si>
  <si>
    <t>Property, plant &amp; equipment written off</t>
  </si>
  <si>
    <t>Gain/loss on disposal of property, plant and equipment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</si>
  <si>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</si>
  <si>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</si>
  <si>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</si>
  <si>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</si>
  <si>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</si>
  <si>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taxes paid</t>
  </si>
  <si>
    <t>Interest paid</t>
  </si>
  <si>
    <t>Net cash generated from operating activities</t>
  </si>
  <si>
    <t>Cash flows from investing activities</t>
  </si>
  <si>
    <t>Acquisition of jointly controlled entity</t>
  </si>
  <si>
    <t>Deposits (pledged)/released as security</t>
  </si>
  <si>
    <t>Interest received</t>
  </si>
  <si>
    <t>Purchase of property, plant and equipment</t>
  </si>
  <si>
    <t>Proceeds from disposal of property, plant and equipment</t>
  </si>
  <si>
    <t>Net cash used in investing activities</t>
  </si>
  <si>
    <t>Cash flows from financing activities</t>
  </si>
  <si>
    <t>Dividends paid to shareholders of the Company</t>
  </si>
  <si>
    <t>Payment of hire purchase liabilities</t>
  </si>
  <si>
    <t>Proceeds from loans and other borrowings</t>
  </si>
  <si>
    <t>Repayment of loans and other borrowings</t>
  </si>
  <si>
    <t>Net increase in cash and cash equivalents</t>
  </si>
  <si>
    <t>Cash and cash equivalents at beginning of period</t>
  </si>
  <si>
    <t>Foreign exchange differences on opening balances</t>
  </si>
  <si>
    <t>Cash and cash equivalents at end of period</t>
  </si>
  <si>
    <t xml:space="preserve">Cash and cash equivalents </t>
  </si>
  <si>
    <t>Fixed Deposits</t>
  </si>
  <si>
    <t>Cash and cash balances</t>
  </si>
  <si>
    <t>Bank overdrafts</t>
  </si>
  <si>
    <t>Short term deposits</t>
  </si>
  <si>
    <t>Dividend received from associate company</t>
  </si>
  <si>
    <t>Less : Deposits pledged</t>
  </si>
  <si>
    <t>Other operating income</t>
  </si>
  <si>
    <t>Operating expenses</t>
  </si>
  <si>
    <t>Profit from operations</t>
  </si>
  <si>
    <t>Taxation</t>
  </si>
  <si>
    <t>Profit after taxation</t>
  </si>
  <si>
    <t>Minority interest</t>
  </si>
  <si>
    <t>Net profit for the period</t>
  </si>
  <si>
    <t>Reserves/(Loss) on consolidation</t>
  </si>
  <si>
    <t>Opening Balance</t>
  </si>
  <si>
    <t>Proceeds from issue of shares</t>
  </si>
  <si>
    <t>Accumulated Profit - FIPB as at 30/9/03</t>
  </si>
  <si>
    <t>2</t>
  </si>
  <si>
    <t>7</t>
  </si>
  <si>
    <t>4</t>
  </si>
  <si>
    <t>1</t>
  </si>
  <si>
    <t xml:space="preserve">Share </t>
  </si>
  <si>
    <t xml:space="preserve"> </t>
  </si>
  <si>
    <t>Accumulated</t>
  </si>
  <si>
    <t xml:space="preserve">capital </t>
  </si>
  <si>
    <t>premium</t>
  </si>
  <si>
    <t>reserve</t>
  </si>
  <si>
    <t>Reserve on</t>
  </si>
  <si>
    <t>consolidation</t>
  </si>
  <si>
    <t>At 30th September 2003</t>
  </si>
  <si>
    <t>Foreign</t>
  </si>
  <si>
    <t>exchange</t>
  </si>
  <si>
    <t>translation</t>
  </si>
  <si>
    <t>As per Conso BS</t>
  </si>
  <si>
    <t>Difference</t>
  </si>
  <si>
    <t>30.09.2003</t>
  </si>
  <si>
    <t>Profit before taxation before MI</t>
  </si>
  <si>
    <t>At 1st July 2003</t>
  </si>
  <si>
    <t>Right Issue</t>
  </si>
  <si>
    <t>Listing Expenses</t>
  </si>
  <si>
    <t>Pre-acquisition reserve</t>
  </si>
  <si>
    <t>Distributable</t>
  </si>
  <si>
    <t>Net profit for the quarter</t>
  </si>
  <si>
    <t>-------------------------------------------Non distributable-------------------------------------------</t>
  </si>
  <si>
    <t>Net cash outflow from acquisition of subsidiary company</t>
  </si>
  <si>
    <t>Purchase of other investment</t>
  </si>
  <si>
    <t>Net cash generated from financing activities</t>
  </si>
  <si>
    <t>Goodwill on consolidation</t>
  </si>
  <si>
    <t>Pre-acquisition profits</t>
  </si>
  <si>
    <t>Post-acquisition profits</t>
  </si>
  <si>
    <t>Unaudited Condensed Consolidated Statement of Changes in Equity for the quarter ended 30 September 2003</t>
  </si>
  <si>
    <t>Forex loss not recognised</t>
  </si>
  <si>
    <t>in income statement</t>
  </si>
  <si>
    <t>Unaudited Condensed Consolidated Balance Sheet as at 30 September 2003</t>
  </si>
  <si>
    <t xml:space="preserve">As at end of </t>
  </si>
  <si>
    <t>current quarter</t>
  </si>
  <si>
    <t xml:space="preserve">As at preceding </t>
  </si>
  <si>
    <t>financial year end</t>
  </si>
  <si>
    <t>31.12.2002</t>
  </si>
  <si>
    <t>Unaudited Condensed Consolidated Income Statement for the quarter ended 30 September 2003</t>
  </si>
  <si>
    <t>Current year</t>
  </si>
  <si>
    <t>Preceding year</t>
  </si>
  <si>
    <t>corresponding</t>
  </si>
  <si>
    <t>quarter</t>
  </si>
  <si>
    <t>Unaudited current</t>
  </si>
  <si>
    <t>year to date</t>
  </si>
  <si>
    <t xml:space="preserve">corresponding </t>
  </si>
  <si>
    <t>30.09.2002</t>
  </si>
  <si>
    <t>for the quarter ended 30 September 2003</t>
  </si>
  <si>
    <t xml:space="preserve">Unaudited Condensed Consolidated Cash Flow Statement </t>
  </si>
  <si>
    <t>Earnings per share</t>
  </si>
  <si>
    <t>Basic</t>
  </si>
  <si>
    <t>Diluted</t>
  </si>
  <si>
    <t>Notes :</t>
  </si>
  <si>
    <t>The acquisition of the subsidiary companies pursuant to the corporate restructuring exercise in conjunction</t>
  </si>
  <si>
    <t>to the Kuala Lumpur Stock Exchange since its listing on 16 October 2003.</t>
  </si>
  <si>
    <t>Exchange was completed on 30 June 2003.</t>
  </si>
  <si>
    <t xml:space="preserve">with the listing of Furniweb Industrial Products Berhad on the Second Board of the Kuala Lumpur Stock </t>
  </si>
  <si>
    <t>Comparative figures for the preceding year are not available as this is the company's first quarterly report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</si>
</sst>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-* #,##0_-;\-* #,##0_-;_-* &quot;-&quot;??_-;_-@_-"/>
    <numFmt numFmtId="169" formatCode="_-* #,##0.00_-;\-* #,##0.00_-;_-* &quot;-&quot;??_-;_-@_-"/>
    <numFmt numFmtId="170" formatCode="_(* #,##0.0000_);_(* \(#,##0.0000\);_(* &quot;-&quot;??_);_(@_)"/>
    <numFmt numFmtId="171" formatCode="_(* #,##0.0000_);_(* \(#,##0.0000\);_(* &quot;-&quot;????_);_(@_)"/>
    <numFmt numFmtId="172" formatCode="0.0000000"/>
    <numFmt numFmtId="173" formatCode="_ * #,##0_ ;_ * \-#,##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15" applyNumberFormat="1" applyAlignment="1">
      <alignment/>
    </xf>
    <xf numFmtId="165" fontId="1" fillId="0" borderId="2" xfId="15" applyNumberFormat="1" applyFon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2" xfId="15" applyNumberFormat="1" applyFont="1" applyFill="1" applyBorder="1" applyAlignment="1">
      <alignment horizontal="left"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5" xfId="15" applyNumberFormat="1" applyBorder="1" applyAlignment="1">
      <alignment/>
    </xf>
    <xf numFmtId="168" fontId="0" fillId="0" borderId="5" xfId="15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15" applyNumberFormat="1" applyBorder="1" applyAlignment="1">
      <alignment/>
    </xf>
    <xf numFmtId="43" fontId="0" fillId="0" borderId="3" xfId="15" applyBorder="1" applyAlignment="1">
      <alignment/>
    </xf>
    <xf numFmtId="165" fontId="0" fillId="0" borderId="7" xfId="15" applyNumberFormat="1" applyBorder="1" applyAlignment="1">
      <alignment/>
    </xf>
    <xf numFmtId="169" fontId="0" fillId="0" borderId="8" xfId="15" applyNumberFormat="1" applyBorder="1" applyAlignment="1">
      <alignment/>
    </xf>
    <xf numFmtId="0" fontId="0" fillId="0" borderId="2" xfId="0" applyBorder="1" applyAlignment="1">
      <alignment horizontal="left"/>
    </xf>
    <xf numFmtId="168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0" xfId="15" applyNumberFormat="1" applyBorder="1" applyAlignment="1">
      <alignment/>
    </xf>
    <xf numFmtId="169" fontId="0" fillId="0" borderId="10" xfId="15" applyNumberFormat="1" applyBorder="1" applyAlignment="1">
      <alignment/>
    </xf>
    <xf numFmtId="169" fontId="0" fillId="0" borderId="10" xfId="15" applyNumberFormat="1" applyFont="1" applyBorder="1" applyAlignment="1">
      <alignment horizontal="center"/>
    </xf>
    <xf numFmtId="169" fontId="0" fillId="0" borderId="11" xfId="15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165" fontId="0" fillId="0" borderId="4" xfId="15" applyNumberFormat="1" applyFont="1" applyBorder="1" applyAlignment="1">
      <alignment horizontal="center"/>
    </xf>
    <xf numFmtId="168" fontId="0" fillId="0" borderId="4" xfId="15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3" fontId="0" fillId="0" borderId="5" xfId="15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14" xfId="15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left"/>
    </xf>
    <xf numFmtId="165" fontId="0" fillId="0" borderId="0" xfId="15" applyNumberFormat="1" applyFont="1" applyBorder="1" applyAlignment="1" quotePrefix="1">
      <alignment/>
    </xf>
    <xf numFmtId="168" fontId="1" fillId="0" borderId="0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/>
    </xf>
    <xf numFmtId="168" fontId="0" fillId="0" borderId="10" xfId="15" applyNumberFormat="1" applyBorder="1" applyAlignment="1">
      <alignment/>
    </xf>
    <xf numFmtId="168" fontId="0" fillId="0" borderId="0" xfId="0" applyNumberFormat="1" applyAlignment="1">
      <alignment/>
    </xf>
    <xf numFmtId="165" fontId="1" fillId="0" borderId="10" xfId="15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165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5" fontId="0" fillId="4" borderId="0" xfId="15" applyNumberFormat="1" applyFont="1" applyFill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ill="1" applyAlignment="1">
      <alignment/>
    </xf>
    <xf numFmtId="165" fontId="0" fillId="0" borderId="3" xfId="15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3" xfId="15" applyNumberFormat="1" applyFont="1" applyFill="1" applyBorder="1" applyAlignment="1">
      <alignment horizontal="center"/>
    </xf>
    <xf numFmtId="168" fontId="0" fillId="0" borderId="3" xfId="15" applyNumberFormat="1" applyFont="1" applyFill="1" applyBorder="1" applyAlignment="1">
      <alignment horizontal="center"/>
    </xf>
    <xf numFmtId="165" fontId="9" fillId="0" borderId="0" xfId="15" applyNumberFormat="1" applyFont="1" applyBorder="1" applyAlignment="1">
      <alignment horizontal="left"/>
    </xf>
    <xf numFmtId="165" fontId="0" fillId="0" borderId="18" xfId="15" applyNumberFormat="1" applyFill="1" applyBorder="1" applyAlignment="1">
      <alignment/>
    </xf>
    <xf numFmtId="0" fontId="0" fillId="0" borderId="0" xfId="0" applyFill="1" applyAlignment="1">
      <alignment horizontal="right"/>
    </xf>
    <xf numFmtId="168" fontId="0" fillId="0" borderId="1" xfId="15" applyNumberFormat="1" applyFill="1" applyBorder="1" applyAlignment="1">
      <alignment/>
    </xf>
    <xf numFmtId="168" fontId="1" fillId="0" borderId="0" xfId="15" applyNumberFormat="1" applyFont="1" applyFill="1" applyBorder="1" applyAlignment="1">
      <alignment horizontal="center"/>
    </xf>
    <xf numFmtId="168" fontId="0" fillId="0" borderId="3" xfId="15" applyNumberFormat="1" applyFill="1" applyBorder="1" applyAlignment="1">
      <alignment/>
    </xf>
    <xf numFmtId="168" fontId="0" fillId="0" borderId="3" xfId="15" applyNumberFormat="1" applyFont="1" applyFill="1" applyBorder="1" applyAlignment="1">
      <alignment/>
    </xf>
    <xf numFmtId="168" fontId="0" fillId="0" borderId="8" xfId="15" applyNumberFormat="1" applyFill="1" applyBorder="1" applyAlignment="1">
      <alignment/>
    </xf>
    <xf numFmtId="168" fontId="0" fillId="0" borderId="5" xfId="15" applyNumberFormat="1" applyFill="1" applyBorder="1" applyAlignment="1">
      <alignment/>
    </xf>
    <xf numFmtId="168" fontId="0" fillId="0" borderId="19" xfId="15" applyNumberFormat="1" applyFill="1" applyBorder="1" applyAlignment="1">
      <alignment/>
    </xf>
    <xf numFmtId="168" fontId="0" fillId="0" borderId="4" xfId="15" applyNumberFormat="1" applyFill="1" applyBorder="1" applyAlignment="1">
      <alignment/>
    </xf>
    <xf numFmtId="169" fontId="0" fillId="0" borderId="10" xfId="15" applyNumberFormat="1" applyFont="1" applyFill="1" applyBorder="1" applyAlignment="1">
      <alignment horizontal="center"/>
    </xf>
    <xf numFmtId="168" fontId="0" fillId="0" borderId="4" xfId="15" applyNumberFormat="1" applyFont="1" applyFill="1" applyBorder="1" applyAlignment="1">
      <alignment horizontal="center"/>
    </xf>
    <xf numFmtId="43" fontId="0" fillId="0" borderId="5" xfId="15" applyFill="1" applyBorder="1" applyAlignment="1">
      <alignment/>
    </xf>
    <xf numFmtId="168" fontId="0" fillId="0" borderId="0" xfId="15" applyNumberFormat="1" applyFill="1" applyAlignment="1">
      <alignment/>
    </xf>
    <xf numFmtId="165" fontId="0" fillId="0" borderId="20" xfId="15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2" xfId="15" applyNumberFormat="1" applyBorder="1" applyAlignment="1">
      <alignment/>
    </xf>
    <xf numFmtId="168" fontId="0" fillId="0" borderId="22" xfId="15" applyNumberFormat="1" applyBorder="1" applyAlignment="1">
      <alignment/>
    </xf>
    <xf numFmtId="165" fontId="1" fillId="0" borderId="23" xfId="15" applyNumberFormat="1" applyFont="1" applyFill="1" applyBorder="1" applyAlignment="1">
      <alignment horizontal="left"/>
    </xf>
    <xf numFmtId="168" fontId="0" fillId="0" borderId="0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0" fillId="0" borderId="25" xfId="15" applyNumberFormat="1" applyBorder="1" applyAlignment="1">
      <alignment/>
    </xf>
    <xf numFmtId="165" fontId="0" fillId="0" borderId="26" xfId="15" applyNumberFormat="1" applyBorder="1" applyAlignment="1">
      <alignment/>
    </xf>
    <xf numFmtId="168" fontId="0" fillId="0" borderId="0" xfId="15" applyNumberFormat="1" applyFont="1" applyBorder="1" applyAlignment="1">
      <alignment horizontal="center"/>
    </xf>
    <xf numFmtId="165" fontId="0" fillId="5" borderId="27" xfId="15" applyNumberFormat="1" applyFont="1" applyFill="1" applyBorder="1" applyAlignment="1">
      <alignment horizontal="center"/>
    </xf>
    <xf numFmtId="168" fontId="0" fillId="5" borderId="27" xfId="15" applyNumberFormat="1" applyFont="1" applyFill="1" applyBorder="1" applyAlignment="1">
      <alignment horizontal="center"/>
    </xf>
    <xf numFmtId="165" fontId="0" fillId="2" borderId="28" xfId="15" applyNumberFormat="1" applyFont="1" applyFill="1" applyBorder="1" applyAlignment="1">
      <alignment horizontal="center"/>
    </xf>
    <xf numFmtId="165" fontId="0" fillId="0" borderId="29" xfId="15" applyNumberFormat="1" applyFont="1" applyFill="1" applyBorder="1" applyAlignment="1">
      <alignment horizontal="center"/>
    </xf>
    <xf numFmtId="165" fontId="1" fillId="0" borderId="23" xfId="15" applyNumberFormat="1" applyFont="1" applyBorder="1" applyAlignment="1">
      <alignment horizontal="left"/>
    </xf>
    <xf numFmtId="165" fontId="0" fillId="0" borderId="29" xfId="15" applyNumberFormat="1" applyFill="1" applyBorder="1" applyAlignment="1">
      <alignment/>
    </xf>
    <xf numFmtId="165" fontId="0" fillId="0" borderId="30" xfId="15" applyNumberFormat="1" applyFill="1" applyBorder="1" applyAlignment="1">
      <alignment/>
    </xf>
    <xf numFmtId="165" fontId="0" fillId="0" borderId="29" xfId="15" applyNumberFormat="1" applyFill="1" applyBorder="1" applyAlignment="1">
      <alignment/>
    </xf>
    <xf numFmtId="165" fontId="0" fillId="0" borderId="31" xfId="15" applyNumberFormat="1" applyFill="1" applyBorder="1" applyAlignment="1">
      <alignment/>
    </xf>
    <xf numFmtId="0" fontId="1" fillId="0" borderId="23" xfId="0" applyFont="1" applyBorder="1" applyAlignment="1">
      <alignment horizontal="left"/>
    </xf>
    <xf numFmtId="165" fontId="0" fillId="0" borderId="29" xfId="15" applyNumberFormat="1" applyFont="1" applyFill="1" applyBorder="1" applyAlignment="1">
      <alignment/>
    </xf>
    <xf numFmtId="165" fontId="1" fillId="0" borderId="24" xfId="15" applyNumberFormat="1" applyFont="1" applyBorder="1" applyAlignment="1">
      <alignment horizontal="left"/>
    </xf>
    <xf numFmtId="165" fontId="1" fillId="0" borderId="32" xfId="15" applyNumberFormat="1" applyFont="1" applyFill="1" applyBorder="1" applyAlignment="1">
      <alignment/>
    </xf>
    <xf numFmtId="165" fontId="0" fillId="0" borderId="33" xfId="15" applyNumberFormat="1" applyFill="1" applyBorder="1" applyAlignment="1">
      <alignment/>
    </xf>
    <xf numFmtId="168" fontId="1" fillId="0" borderId="19" xfId="15" applyNumberFormat="1" applyFont="1" applyFill="1" applyBorder="1" applyAlignment="1">
      <alignment/>
    </xf>
    <xf numFmtId="168" fontId="1" fillId="0" borderId="34" xfId="15" applyNumberFormat="1" applyFont="1" applyFill="1" applyBorder="1" applyAlignment="1">
      <alignment/>
    </xf>
    <xf numFmtId="168" fontId="1" fillId="0" borderId="6" xfId="15" applyNumberFormat="1" applyFont="1" applyFill="1" applyBorder="1" applyAlignment="1">
      <alignment/>
    </xf>
    <xf numFmtId="168" fontId="1" fillId="0" borderId="15" xfId="15" applyNumberFormat="1" applyFont="1" applyFill="1" applyBorder="1" applyAlignment="1">
      <alignment/>
    </xf>
    <xf numFmtId="168" fontId="1" fillId="0" borderId="35" xfId="15" applyNumberFormat="1" applyFont="1" applyFill="1" applyBorder="1" applyAlignment="1">
      <alignment/>
    </xf>
    <xf numFmtId="43" fontId="0" fillId="0" borderId="3" xfId="15" applyFill="1" applyBorder="1" applyAlignment="1">
      <alignment/>
    </xf>
    <xf numFmtId="165" fontId="0" fillId="0" borderId="16" xfId="15" applyNumberFormat="1" applyFill="1" applyBorder="1" applyAlignment="1">
      <alignment/>
    </xf>
    <xf numFmtId="165" fontId="0" fillId="0" borderId="3" xfId="15" applyNumberFormat="1" applyFill="1" applyBorder="1" applyAlignment="1">
      <alignment/>
    </xf>
    <xf numFmtId="165" fontId="0" fillId="0" borderId="7" xfId="15" applyNumberFormat="1" applyFill="1" applyBorder="1" applyAlignment="1">
      <alignment/>
    </xf>
    <xf numFmtId="165" fontId="0" fillId="0" borderId="20" xfId="15" applyNumberFormat="1" applyFill="1" applyBorder="1" applyAlignment="1">
      <alignment/>
    </xf>
    <xf numFmtId="168" fontId="0" fillId="0" borderId="16" xfId="15" applyNumberFormat="1" applyFill="1" applyBorder="1" applyAlignment="1">
      <alignment/>
    </xf>
    <xf numFmtId="168" fontId="0" fillId="0" borderId="2" xfId="15" applyNumberFormat="1" applyFill="1" applyBorder="1" applyAlignment="1">
      <alignment/>
    </xf>
    <xf numFmtId="165" fontId="0" fillId="0" borderId="36" xfId="15" applyNumberFormat="1" applyFill="1" applyBorder="1" applyAlignment="1">
      <alignment/>
    </xf>
    <xf numFmtId="169" fontId="0" fillId="0" borderId="8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37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16" xfId="15" applyNumberFormat="1" applyFill="1" applyBorder="1" applyAlignment="1">
      <alignment/>
    </xf>
    <xf numFmtId="165" fontId="0" fillId="0" borderId="8" xfId="15" applyNumberFormat="1" applyFill="1" applyBorder="1" applyAlignment="1">
      <alignment/>
    </xf>
    <xf numFmtId="165" fontId="0" fillId="0" borderId="17" xfId="15" applyNumberFormat="1" applyFill="1" applyBorder="1" applyAlignment="1">
      <alignment/>
    </xf>
    <xf numFmtId="168" fontId="1" fillId="0" borderId="38" xfId="15" applyNumberFormat="1" applyFont="1" applyFill="1" applyBorder="1" applyAlignment="1">
      <alignment/>
    </xf>
    <xf numFmtId="168" fontId="1" fillId="0" borderId="39" xfId="15" applyNumberFormat="1" applyFont="1" applyFill="1" applyBorder="1" applyAlignment="1">
      <alignment/>
    </xf>
    <xf numFmtId="165" fontId="0" fillId="5" borderId="0" xfId="15" applyNumberFormat="1" applyFont="1" applyFill="1" applyBorder="1" applyAlignment="1">
      <alignment horizontal="center"/>
    </xf>
    <xf numFmtId="165" fontId="1" fillId="0" borderId="10" xfId="15" applyNumberFormat="1" applyFont="1" applyBorder="1" applyAlignment="1">
      <alignment horizontal="left"/>
    </xf>
    <xf numFmtId="168" fontId="0" fillId="5" borderId="4" xfId="15" applyNumberFormat="1" applyFont="1" applyFill="1" applyBorder="1" applyAlignment="1">
      <alignment horizontal="center"/>
    </xf>
    <xf numFmtId="165" fontId="0" fillId="5" borderId="0" xfId="15" applyNumberFormat="1" applyFill="1" applyBorder="1" applyAlignment="1">
      <alignment horizontal="center"/>
    </xf>
    <xf numFmtId="168" fontId="0" fillId="5" borderId="0" xfId="15" applyNumberFormat="1" applyFill="1" applyAlignment="1">
      <alignment horizontal="center"/>
    </xf>
    <xf numFmtId="0" fontId="0" fillId="5" borderId="4" xfId="0" applyFill="1" applyBorder="1" applyAlignment="1">
      <alignment horizontal="center"/>
    </xf>
    <xf numFmtId="168" fontId="0" fillId="5" borderId="3" xfId="15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5" fontId="0" fillId="5" borderId="10" xfId="15" applyNumberFormat="1" applyFill="1" applyBorder="1" applyAlignment="1">
      <alignment horizontal="center"/>
    </xf>
    <xf numFmtId="165" fontId="0" fillId="5" borderId="10" xfId="15" applyNumberFormat="1" applyFont="1" applyFill="1" applyBorder="1" applyAlignment="1">
      <alignment horizontal="center"/>
    </xf>
    <xf numFmtId="168" fontId="0" fillId="5" borderId="10" xfId="15" applyNumberFormat="1" applyFill="1" applyBorder="1" applyAlignment="1">
      <alignment horizontal="center"/>
    </xf>
    <xf numFmtId="165" fontId="1" fillId="5" borderId="4" xfId="15" applyNumberFormat="1" applyFont="1" applyFill="1" applyBorder="1" applyAlignment="1">
      <alignment horizontal="center"/>
    </xf>
    <xf numFmtId="165" fontId="0" fillId="5" borderId="3" xfId="15" applyNumberFormat="1" applyFont="1" applyFill="1" applyBorder="1" applyAlignment="1">
      <alignment horizontal="center"/>
    </xf>
    <xf numFmtId="165" fontId="0" fillId="5" borderId="8" xfId="15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3" fontId="0" fillId="0" borderId="10" xfId="15" applyBorder="1" applyAlignment="1">
      <alignment/>
    </xf>
    <xf numFmtId="43" fontId="0" fillId="0" borderId="14" xfId="15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5" fontId="0" fillId="5" borderId="16" xfId="15" applyNumberFormat="1" applyFont="1" applyFill="1" applyBorder="1" applyAlignment="1">
      <alignment horizontal="center"/>
    </xf>
    <xf numFmtId="165" fontId="0" fillId="5" borderId="3" xfId="15" applyNumberFormat="1" applyFont="1" applyFill="1" applyBorder="1" applyAlignment="1" quotePrefix="1">
      <alignment horizontal="center"/>
    </xf>
    <xf numFmtId="0" fontId="0" fillId="5" borderId="2" xfId="0" applyFill="1" applyBorder="1" applyAlignment="1" quotePrefix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 quotePrefix="1">
      <alignment horizontal="center"/>
    </xf>
    <xf numFmtId="165" fontId="0" fillId="5" borderId="16" xfId="15" applyNumberFormat="1" applyFont="1" applyFill="1" applyBorder="1" applyAlignment="1" quotePrefix="1">
      <alignment horizontal="center"/>
    </xf>
    <xf numFmtId="165" fontId="0" fillId="5" borderId="17" xfId="15" applyNumberFormat="1" applyFont="1" applyFill="1" applyBorder="1" applyAlignment="1">
      <alignment horizontal="center"/>
    </xf>
    <xf numFmtId="168" fontId="0" fillId="5" borderId="3" xfId="15" applyNumberFormat="1" applyFont="1" applyFill="1" applyBorder="1" applyAlignment="1" quotePrefix="1">
      <alignment horizontal="center"/>
    </xf>
    <xf numFmtId="168" fontId="0" fillId="5" borderId="8" xfId="15" applyNumberFormat="1" applyFont="1" applyFill="1" applyBorder="1" applyAlignment="1">
      <alignment horizontal="center"/>
    </xf>
    <xf numFmtId="165" fontId="0" fillId="5" borderId="11" xfId="15" applyNumberFormat="1" applyFont="1" applyFill="1" applyBorder="1" applyAlignment="1">
      <alignment horizontal="center"/>
    </xf>
    <xf numFmtId="165" fontId="1" fillId="0" borderId="21" xfId="15" applyNumberFormat="1" applyFont="1" applyFill="1" applyBorder="1" applyAlignment="1">
      <alignment horizontal="left"/>
    </xf>
    <xf numFmtId="165" fontId="0" fillId="0" borderId="22" xfId="15" applyNumberFormat="1" applyFont="1" applyFill="1" applyBorder="1" applyAlignment="1">
      <alignment/>
    </xf>
    <xf numFmtId="165" fontId="0" fillId="0" borderId="40" xfId="15" applyNumberFormat="1" applyFill="1" applyBorder="1" applyAlignment="1">
      <alignment/>
    </xf>
    <xf numFmtId="165" fontId="0" fillId="0" borderId="41" xfId="15" applyNumberFormat="1" applyFill="1" applyBorder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46</xdr:row>
      <xdr:rowOff>104775</xdr:rowOff>
    </xdr:from>
    <xdr:ext cx="85725" cy="209550"/>
    <xdr:sp>
      <xdr:nvSpPr>
        <xdr:cNvPr id="1" name="TextBox 2"/>
        <xdr:cNvSpPr txBox="1">
          <a:spLocks noChangeArrowheads="1"/>
        </xdr:cNvSpPr>
      </xdr:nvSpPr>
      <xdr:spPr>
        <a:xfrm>
          <a:off x="3914775" y="7419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LM\Chong's%20Schedule\Consolidation00\00ConsolBS,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GSOPE2VA\FIPB%20GRP-30.9.03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Adj"/>
      <sheetName val="CFStatement26.2"/>
      <sheetName val="Cashflow"/>
      <sheetName val="ConBS00.13.2"/>
      <sheetName val="P&amp;L.13.2"/>
      <sheetName val="Forex"/>
      <sheetName val="BS Forex00"/>
      <sheetName val="Acq. SKepong"/>
      <sheetName val="FA"/>
      <sheetName val="FMV-FA00"/>
      <sheetName val="Gr-FA"/>
      <sheetName val="Stocks"/>
      <sheetName val="RelCo"/>
      <sheetName val="Discl"/>
      <sheetName val="Borrow"/>
      <sheetName val="Sheet1"/>
    </sheetNames>
    <sheetDataSet>
      <sheetData sheetId="3">
        <row r="35">
          <cell r="L35">
            <v>5827500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coFIPBGrp"/>
      <sheetName val="IntercoFMSB-FMV "/>
      <sheetName val="FIPB-Sales30.9.03"/>
      <sheetName val="PL_YTDSep03"/>
      <sheetName val="PL_QTRSep03"/>
      <sheetName val="BS_Sep03"/>
      <sheetName val="cieSep03"/>
      <sheetName val="cashflwSep03"/>
    </sheetNames>
    <sheetDataSet>
      <sheetData sheetId="4">
        <row r="16">
          <cell r="N16">
            <v>105815</v>
          </cell>
        </row>
        <row r="19">
          <cell r="N19">
            <v>3549511</v>
          </cell>
        </row>
      </sheetData>
      <sheetData sheetId="5">
        <row r="16">
          <cell r="L16">
            <v>14402893</v>
          </cell>
          <cell r="S16">
            <v>14323690</v>
          </cell>
        </row>
        <row r="17">
          <cell r="L17">
            <v>13100788</v>
          </cell>
          <cell r="S17">
            <v>12693307</v>
          </cell>
        </row>
        <row r="18">
          <cell r="L18">
            <v>1440932</v>
          </cell>
          <cell r="S18">
            <v>2926890</v>
          </cell>
        </row>
        <row r="20">
          <cell r="L20">
            <v>116704</v>
          </cell>
          <cell r="S20">
            <v>229145</v>
          </cell>
        </row>
        <row r="22">
          <cell r="L22">
            <v>1236809</v>
          </cell>
        </row>
        <row r="23">
          <cell r="L23">
            <v>9476118</v>
          </cell>
        </row>
        <row r="26">
          <cell r="L26">
            <v>5424924</v>
          </cell>
          <cell r="S26">
            <v>5957365</v>
          </cell>
        </row>
        <row r="27">
          <cell r="L27">
            <v>3499913</v>
          </cell>
          <cell r="S27">
            <v>3486894</v>
          </cell>
        </row>
        <row r="29">
          <cell r="L29">
            <v>8300930</v>
          </cell>
          <cell r="S29">
            <v>6359402</v>
          </cell>
        </row>
        <row r="49">
          <cell r="L49">
            <v>4723465</v>
          </cell>
          <cell r="S49">
            <v>1459987</v>
          </cell>
        </row>
        <row r="50">
          <cell r="L50">
            <v>1014612</v>
          </cell>
          <cell r="S50">
            <v>1305855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zoomScale="80" zoomScaleNormal="80" workbookViewId="0" topLeftCell="A28">
      <selection activeCell="C43" sqref="C43"/>
    </sheetView>
  </sheetViews>
  <sheetFormatPr defaultColWidth="9.140625" defaultRowHeight="12.75"/>
  <cols>
    <col min="1" max="1" width="4.00390625" style="0" customWidth="1"/>
    <col min="2" max="2" width="2.00390625" style="0" customWidth="1"/>
    <col min="3" max="3" width="27.28125" style="0" customWidth="1"/>
    <col min="4" max="4" width="13.28125" style="0" hidden="1" customWidth="1"/>
    <col min="5" max="10" width="14.421875" style="42" hidden="1" customWidth="1"/>
    <col min="11" max="11" width="15.421875" style="42" hidden="1" customWidth="1"/>
    <col min="12" max="12" width="11.57421875" style="42" hidden="1" customWidth="1"/>
    <col min="13" max="13" width="10.28125" style="42" hidden="1" customWidth="1"/>
    <col min="14" max="14" width="17.421875" style="4" customWidth="1"/>
    <col min="15" max="17" width="17.00390625" style="0" customWidth="1"/>
    <col min="18" max="18" width="1.8515625" style="0" customWidth="1"/>
  </cols>
  <sheetData>
    <row r="1" spans="1:14" ht="12.75">
      <c r="A1" s="28"/>
      <c r="B1" s="28"/>
      <c r="C1" s="28"/>
      <c r="D1" s="28"/>
      <c r="E1" s="10"/>
      <c r="F1" s="10"/>
      <c r="G1" s="10"/>
      <c r="H1" s="10"/>
      <c r="I1" s="10"/>
      <c r="J1" s="10"/>
      <c r="K1" s="10"/>
      <c r="L1" s="16"/>
      <c r="M1" s="16"/>
      <c r="N1" s="43"/>
    </row>
    <row r="2" spans="1:14" ht="12.75">
      <c r="A2" s="28"/>
      <c r="B2" s="48" t="s">
        <v>43</v>
      </c>
      <c r="C2" s="28"/>
      <c r="D2" s="28"/>
      <c r="E2" s="10"/>
      <c r="F2" s="10"/>
      <c r="G2" s="16"/>
      <c r="H2" s="13"/>
      <c r="I2" s="13"/>
      <c r="J2" s="13"/>
      <c r="K2" s="10"/>
      <c r="L2" s="16"/>
      <c r="M2" s="16"/>
      <c r="N2" s="43"/>
    </row>
    <row r="3" spans="1:14" ht="12.75">
      <c r="A3" s="28"/>
      <c r="B3" s="48" t="s">
        <v>153</v>
      </c>
      <c r="C3" s="28"/>
      <c r="D3" s="28"/>
      <c r="E3" s="10"/>
      <c r="F3" s="10"/>
      <c r="G3" s="10"/>
      <c r="H3" s="10"/>
      <c r="I3" s="10"/>
      <c r="J3" s="10"/>
      <c r="K3" s="10"/>
      <c r="L3" s="16"/>
      <c r="M3" s="16"/>
      <c r="N3" s="43"/>
    </row>
    <row r="4" spans="1:14" ht="12.75">
      <c r="A4" s="28"/>
      <c r="B4" s="48"/>
      <c r="C4" s="28"/>
      <c r="D4" s="28"/>
      <c r="E4" s="10"/>
      <c r="F4" s="10"/>
      <c r="G4" s="10"/>
      <c r="H4" s="10"/>
      <c r="I4" s="10"/>
      <c r="J4" s="10"/>
      <c r="K4" s="10"/>
      <c r="L4" s="16"/>
      <c r="M4" s="16"/>
      <c r="N4" s="43"/>
    </row>
    <row r="5" spans="1:17" ht="12.75">
      <c r="A5" s="28"/>
      <c r="B5" s="48"/>
      <c r="C5" s="28"/>
      <c r="D5" s="28"/>
      <c r="E5" s="10"/>
      <c r="F5" s="10"/>
      <c r="G5" s="10"/>
      <c r="H5" s="10"/>
      <c r="I5" s="10"/>
      <c r="J5" s="10"/>
      <c r="K5" s="10"/>
      <c r="L5" s="16"/>
      <c r="M5" s="16"/>
      <c r="N5" s="168"/>
      <c r="O5" s="174" t="s">
        <v>155</v>
      </c>
      <c r="P5" s="162"/>
      <c r="Q5" s="175"/>
    </row>
    <row r="6" spans="1:17" ht="12.75">
      <c r="A6" s="28"/>
      <c r="B6" s="48"/>
      <c r="C6" s="28"/>
      <c r="D6" s="28"/>
      <c r="E6" s="10"/>
      <c r="F6" s="10"/>
      <c r="G6" s="10"/>
      <c r="H6" s="10"/>
      <c r="I6" s="10"/>
      <c r="J6" s="10"/>
      <c r="K6" s="10"/>
      <c r="L6" s="16"/>
      <c r="M6" s="16"/>
      <c r="N6" s="169" t="s">
        <v>154</v>
      </c>
      <c r="O6" s="176" t="s">
        <v>160</v>
      </c>
      <c r="P6" s="164" t="s">
        <v>158</v>
      </c>
      <c r="Q6" s="177" t="s">
        <v>155</v>
      </c>
    </row>
    <row r="7" spans="1:17" ht="12.75">
      <c r="A7" s="28"/>
      <c r="B7" s="48"/>
      <c r="C7" s="28"/>
      <c r="D7" s="28"/>
      <c r="E7" s="10"/>
      <c r="F7" s="10"/>
      <c r="G7" s="10"/>
      <c r="H7" s="10"/>
      <c r="I7" s="10"/>
      <c r="J7" s="10"/>
      <c r="K7" s="10"/>
      <c r="L7" s="16"/>
      <c r="M7" s="16"/>
      <c r="N7" s="169" t="s">
        <v>157</v>
      </c>
      <c r="O7" s="176" t="s">
        <v>157</v>
      </c>
      <c r="P7" s="164" t="s">
        <v>159</v>
      </c>
      <c r="Q7" s="177" t="s">
        <v>156</v>
      </c>
    </row>
    <row r="8" spans="1:17" ht="12.75">
      <c r="A8" s="28"/>
      <c r="B8" s="48"/>
      <c r="C8" s="28"/>
      <c r="D8" s="28"/>
      <c r="E8" s="10"/>
      <c r="F8" s="10"/>
      <c r="G8" s="10"/>
      <c r="H8" s="10"/>
      <c r="I8" s="10"/>
      <c r="J8" s="10"/>
      <c r="K8" s="10"/>
      <c r="L8" s="16"/>
      <c r="M8" s="16"/>
      <c r="N8" s="178" t="s">
        <v>129</v>
      </c>
      <c r="O8" s="179" t="s">
        <v>161</v>
      </c>
      <c r="P8" s="181" t="s">
        <v>129</v>
      </c>
      <c r="Q8" s="182" t="s">
        <v>161</v>
      </c>
    </row>
    <row r="9" spans="1:17" ht="12.75">
      <c r="A9" s="28"/>
      <c r="B9" s="48"/>
      <c r="C9" s="28"/>
      <c r="D9" s="28"/>
      <c r="E9" s="10"/>
      <c r="F9" s="10"/>
      <c r="G9" s="10"/>
      <c r="H9" s="10"/>
      <c r="I9" s="10"/>
      <c r="J9" s="10"/>
      <c r="K9" s="10"/>
      <c r="L9" s="16"/>
      <c r="M9" s="16"/>
      <c r="N9" s="170" t="s">
        <v>40</v>
      </c>
      <c r="O9" s="180" t="s">
        <v>40</v>
      </c>
      <c r="P9" s="171" t="s">
        <v>40</v>
      </c>
      <c r="Q9" s="183" t="s">
        <v>40</v>
      </c>
    </row>
    <row r="10" spans="1:14" ht="12.75">
      <c r="A10" s="28"/>
      <c r="B10" s="48"/>
      <c r="C10" s="28"/>
      <c r="D10" s="28"/>
      <c r="E10" s="10"/>
      <c r="F10" s="10"/>
      <c r="G10" s="10"/>
      <c r="H10" s="10"/>
      <c r="I10" s="10"/>
      <c r="J10" s="10"/>
      <c r="K10" s="10"/>
      <c r="L10" s="16"/>
      <c r="M10" s="16"/>
      <c r="N10" s="43"/>
    </row>
    <row r="11" spans="1:17" ht="12.75">
      <c r="A11" s="28"/>
      <c r="B11" s="28"/>
      <c r="C11" s="28" t="s">
        <v>44</v>
      </c>
      <c r="D11" s="5">
        <v>0</v>
      </c>
      <c r="E11" s="16">
        <v>11552353</v>
      </c>
      <c r="F11" s="13">
        <v>472132</v>
      </c>
      <c r="G11" s="13">
        <v>2172190</v>
      </c>
      <c r="H11" s="13">
        <v>2457277</v>
      </c>
      <c r="I11" s="13">
        <v>327927</v>
      </c>
      <c r="J11" s="13">
        <v>0</v>
      </c>
      <c r="K11" s="10">
        <f>SUM(D11:J11)</f>
        <v>16981879</v>
      </c>
      <c r="L11" s="16">
        <v>143200</v>
      </c>
      <c r="M11" s="16"/>
      <c r="N11" s="43">
        <f>+K11+M11-L11</f>
        <v>16838679</v>
      </c>
      <c r="O11" s="3">
        <v>0</v>
      </c>
      <c r="P11" s="43">
        <v>47062562</v>
      </c>
      <c r="Q11" s="3">
        <v>0</v>
      </c>
    </row>
    <row r="12" spans="1:17" ht="12.75">
      <c r="A12" s="28"/>
      <c r="B12" s="28"/>
      <c r="C12" s="28"/>
      <c r="D12" s="5"/>
      <c r="E12" s="16"/>
      <c r="F12" s="13"/>
      <c r="G12" s="13"/>
      <c r="H12" s="13"/>
      <c r="I12" s="13"/>
      <c r="J12" s="13"/>
      <c r="K12" s="10"/>
      <c r="L12" s="16"/>
      <c r="M12" s="16"/>
      <c r="N12" s="43"/>
      <c r="O12" s="3"/>
      <c r="P12" s="43"/>
      <c r="Q12" s="3"/>
    </row>
    <row r="13" spans="1:17" ht="12.75">
      <c r="A13" s="28"/>
      <c r="B13" s="28"/>
      <c r="C13" s="28" t="s">
        <v>101</v>
      </c>
      <c r="D13" s="5">
        <v>-1715</v>
      </c>
      <c r="E13" s="16">
        <f>-8945731+55994+344790</f>
        <v>-8544947</v>
      </c>
      <c r="F13" s="13">
        <v>-386732</v>
      </c>
      <c r="G13" s="13">
        <v>-1683365</v>
      </c>
      <c r="H13" s="13">
        <v>-2236474</v>
      </c>
      <c r="I13" s="13">
        <v>-446666</v>
      </c>
      <c r="J13" s="13">
        <v>-479499</v>
      </c>
      <c r="K13" s="10">
        <f>SUM(D13:J13)</f>
        <v>-13779398</v>
      </c>
      <c r="L13" s="16"/>
      <c r="M13" s="16">
        <f>479000+143200</f>
        <v>622200</v>
      </c>
      <c r="N13" s="43">
        <f>+K13+M13-L13</f>
        <v>-13157198</v>
      </c>
      <c r="O13" s="3">
        <v>0</v>
      </c>
      <c r="P13" s="43">
        <v>-37318685</v>
      </c>
      <c r="Q13" s="3">
        <v>0</v>
      </c>
    </row>
    <row r="14" spans="1:17" ht="12.75">
      <c r="A14" s="28"/>
      <c r="B14" s="28"/>
      <c r="C14" s="28"/>
      <c r="D14" s="5"/>
      <c r="E14" s="10"/>
      <c r="F14" s="13"/>
      <c r="G14" s="13"/>
      <c r="H14" s="13"/>
      <c r="I14" s="13"/>
      <c r="J14" s="13"/>
      <c r="K14" s="10"/>
      <c r="L14" s="16"/>
      <c r="M14" s="16"/>
      <c r="N14" s="43"/>
      <c r="O14" s="3"/>
      <c r="P14" s="43"/>
      <c r="Q14" s="3"/>
    </row>
    <row r="15" spans="1:17" ht="12.75">
      <c r="A15" s="28"/>
      <c r="B15" s="28"/>
      <c r="C15" s="28" t="s">
        <v>100</v>
      </c>
      <c r="D15" s="5">
        <v>3277</v>
      </c>
      <c r="E15" s="10">
        <v>61968</v>
      </c>
      <c r="F15" s="13">
        <v>4392</v>
      </c>
      <c r="G15" s="13">
        <v>296</v>
      </c>
      <c r="H15" s="13">
        <v>11964</v>
      </c>
      <c r="I15" s="13">
        <v>1885</v>
      </c>
      <c r="J15" s="13">
        <v>26600</v>
      </c>
      <c r="K15" s="10">
        <f>SUM(D15:J15)</f>
        <v>110382</v>
      </c>
      <c r="L15" s="16">
        <v>26600</v>
      </c>
      <c r="M15" s="16"/>
      <c r="N15" s="43">
        <f>+K15+M15-L15</f>
        <v>83782</v>
      </c>
      <c r="O15" s="3">
        <v>0</v>
      </c>
      <c r="P15" s="43">
        <v>514649</v>
      </c>
      <c r="Q15" s="3">
        <v>0</v>
      </c>
    </row>
    <row r="16" spans="1:17" ht="12.75">
      <c r="A16" s="28"/>
      <c r="B16" s="28"/>
      <c r="C16" s="28"/>
      <c r="D16" s="5"/>
      <c r="E16" s="10"/>
      <c r="F16" s="13"/>
      <c r="G16" s="13"/>
      <c r="H16" s="13"/>
      <c r="I16" s="13"/>
      <c r="J16" s="13"/>
      <c r="K16" s="10"/>
      <c r="L16" s="16"/>
      <c r="M16" s="16"/>
      <c r="N16" s="43"/>
      <c r="O16" s="3"/>
      <c r="P16" s="43"/>
      <c r="Q16" s="3"/>
    </row>
    <row r="17" spans="1:17" ht="12.75">
      <c r="A17" s="28"/>
      <c r="B17" s="28"/>
      <c r="C17" s="28" t="s">
        <v>102</v>
      </c>
      <c r="D17" s="10">
        <f>SUM(D11:D15)</f>
        <v>1562</v>
      </c>
      <c r="E17" s="10">
        <f>SUM(E11:E15)</f>
        <v>3069374</v>
      </c>
      <c r="F17" s="10">
        <f aca="true" t="shared" si="0" ref="F17:K17">SUM(F11:F15)</f>
        <v>89792</v>
      </c>
      <c r="G17" s="10">
        <f t="shared" si="0"/>
        <v>489121</v>
      </c>
      <c r="H17" s="10">
        <f t="shared" si="0"/>
        <v>232767</v>
      </c>
      <c r="I17" s="10">
        <f t="shared" si="0"/>
        <v>-116854</v>
      </c>
      <c r="J17" s="10">
        <f t="shared" si="0"/>
        <v>-452899</v>
      </c>
      <c r="K17" s="10">
        <f t="shared" si="0"/>
        <v>3312863</v>
      </c>
      <c r="L17" s="16"/>
      <c r="M17" s="16"/>
      <c r="N17" s="10">
        <f>SUM(N11:N15)</f>
        <v>3765263</v>
      </c>
      <c r="O17" s="3">
        <v>0</v>
      </c>
      <c r="P17" s="10">
        <v>10258526</v>
      </c>
      <c r="Q17" s="3">
        <v>0</v>
      </c>
    </row>
    <row r="18" spans="1:17" ht="12.75">
      <c r="A18" s="28"/>
      <c r="B18" s="28"/>
      <c r="C18" s="19"/>
      <c r="D18" s="5"/>
      <c r="E18" s="10"/>
      <c r="F18" s="10"/>
      <c r="G18" s="10"/>
      <c r="H18" s="10"/>
      <c r="I18" s="10"/>
      <c r="J18" s="10"/>
      <c r="K18" s="10"/>
      <c r="L18" s="16"/>
      <c r="M18" s="16"/>
      <c r="N18" s="43"/>
      <c r="O18" s="3"/>
      <c r="P18" s="43"/>
      <c r="Q18" s="3"/>
    </row>
    <row r="19" spans="1:17" ht="12.75">
      <c r="A19" s="28"/>
      <c r="B19" s="28"/>
      <c r="C19" s="28" t="s">
        <v>45</v>
      </c>
      <c r="D19" s="5">
        <v>0</v>
      </c>
      <c r="E19" s="10">
        <v>-238917</v>
      </c>
      <c r="F19" s="10">
        <v>0</v>
      </c>
      <c r="G19" s="10">
        <v>-5815</v>
      </c>
      <c r="H19" s="10">
        <v>-59311</v>
      </c>
      <c r="I19" s="10">
        <v>-44124</v>
      </c>
      <c r="J19" s="10"/>
      <c r="K19" s="10">
        <f>SUM(D19:I19)</f>
        <v>-348167</v>
      </c>
      <c r="L19" s="16"/>
      <c r="M19" s="16">
        <v>26600</v>
      </c>
      <c r="N19" s="43">
        <f>+K19+M19</f>
        <v>-321567</v>
      </c>
      <c r="O19" s="3">
        <v>0</v>
      </c>
      <c r="P19" s="43">
        <v>-768235</v>
      </c>
      <c r="Q19" s="3">
        <v>0</v>
      </c>
    </row>
    <row r="20" spans="1:17" ht="12.75">
      <c r="A20" s="28"/>
      <c r="B20" s="28"/>
      <c r="C20" s="46"/>
      <c r="D20" s="5"/>
      <c r="E20" s="10"/>
      <c r="F20" s="10"/>
      <c r="G20" s="10"/>
      <c r="H20" s="10"/>
      <c r="I20" s="10"/>
      <c r="J20" s="10"/>
      <c r="K20" s="10"/>
      <c r="L20" s="16"/>
      <c r="M20" s="16"/>
      <c r="N20" s="43"/>
      <c r="O20" s="3"/>
      <c r="P20" s="43"/>
      <c r="Q20" s="3"/>
    </row>
    <row r="21" spans="1:17" ht="12.75">
      <c r="A21" s="28"/>
      <c r="B21" s="28"/>
      <c r="C21" s="28" t="s">
        <v>46</v>
      </c>
      <c r="D21" s="5">
        <v>0</v>
      </c>
      <c r="E21" s="10">
        <v>105815</v>
      </c>
      <c r="F21" s="10">
        <v>0</v>
      </c>
      <c r="G21" s="10">
        <v>0</v>
      </c>
      <c r="H21" s="10"/>
      <c r="I21" s="10"/>
      <c r="J21" s="10"/>
      <c r="K21" s="10">
        <f>SUM(D21:H21)</f>
        <v>105815</v>
      </c>
      <c r="L21" s="16"/>
      <c r="M21" s="16"/>
      <c r="N21" s="43">
        <f>+K21+M21-L21</f>
        <v>105815</v>
      </c>
      <c r="O21" s="3">
        <v>0</v>
      </c>
      <c r="P21" s="43">
        <v>323669</v>
      </c>
      <c r="Q21" s="3">
        <v>0</v>
      </c>
    </row>
    <row r="22" spans="1:17" ht="12.75">
      <c r="A22" s="28"/>
      <c r="B22" s="28"/>
      <c r="C22" s="28" t="s">
        <v>47</v>
      </c>
      <c r="D22" s="5"/>
      <c r="E22" s="10"/>
      <c r="F22" s="10"/>
      <c r="G22" s="10"/>
      <c r="H22" s="10"/>
      <c r="I22" s="10"/>
      <c r="J22" s="10"/>
      <c r="K22" s="10"/>
      <c r="L22" s="16"/>
      <c r="M22" s="16"/>
      <c r="N22" s="43"/>
      <c r="O22" s="3"/>
      <c r="P22" s="43"/>
      <c r="Q22" s="3"/>
    </row>
    <row r="23" spans="1:17" ht="12.75">
      <c r="A23" s="28"/>
      <c r="B23" s="28"/>
      <c r="C23" s="28"/>
      <c r="D23" s="5"/>
      <c r="E23" s="10"/>
      <c r="F23" s="10"/>
      <c r="G23" s="10"/>
      <c r="H23" s="10"/>
      <c r="I23" s="10"/>
      <c r="J23" s="10"/>
      <c r="K23" s="10"/>
      <c r="L23" s="16"/>
      <c r="M23" s="16"/>
      <c r="N23" s="54"/>
      <c r="O23" s="172"/>
      <c r="P23" s="54"/>
      <c r="Q23" s="172"/>
    </row>
    <row r="24" spans="1:17" ht="12.75">
      <c r="A24" s="28"/>
      <c r="B24" s="28"/>
      <c r="C24" s="28" t="s">
        <v>0</v>
      </c>
      <c r="D24" s="10">
        <f>SUM(D17:D22)</f>
        <v>1562</v>
      </c>
      <c r="E24" s="10">
        <f>SUM(E17:E22)</f>
        <v>2936272</v>
      </c>
      <c r="F24" s="10">
        <f aca="true" t="shared" si="1" ref="F24:K24">SUM(F17:F22)</f>
        <v>89792</v>
      </c>
      <c r="G24" s="10">
        <f t="shared" si="1"/>
        <v>483306</v>
      </c>
      <c r="H24" s="10">
        <f t="shared" si="1"/>
        <v>173456</v>
      </c>
      <c r="I24" s="10">
        <f t="shared" si="1"/>
        <v>-160978</v>
      </c>
      <c r="J24" s="10">
        <f t="shared" si="1"/>
        <v>-452899</v>
      </c>
      <c r="K24" s="10">
        <f t="shared" si="1"/>
        <v>3070511</v>
      </c>
      <c r="L24" s="16"/>
      <c r="M24" s="16"/>
      <c r="N24" s="10">
        <f>SUM(N17:N22)</f>
        <v>3549511</v>
      </c>
      <c r="O24" s="10">
        <f>SUM(O17:O22)</f>
        <v>0</v>
      </c>
      <c r="P24" s="10">
        <f>SUM(P17:P22)</f>
        <v>9813960</v>
      </c>
      <c r="Q24" s="10">
        <f>SUM(Q17:Q22)</f>
        <v>0</v>
      </c>
    </row>
    <row r="25" spans="1:17" ht="12.75">
      <c r="A25" s="28"/>
      <c r="B25" s="28"/>
      <c r="C25" s="28"/>
      <c r="D25" s="5"/>
      <c r="E25" s="10"/>
      <c r="F25" s="10"/>
      <c r="G25" s="10"/>
      <c r="H25" s="10"/>
      <c r="I25" s="10"/>
      <c r="J25" s="10"/>
      <c r="K25" s="10"/>
      <c r="L25" s="16"/>
      <c r="M25" s="16"/>
      <c r="N25" s="10"/>
      <c r="O25" s="3"/>
      <c r="P25" s="10"/>
      <c r="Q25" s="3"/>
    </row>
    <row r="26" spans="1:17" ht="12.75">
      <c r="A26" s="28"/>
      <c r="B26" s="28"/>
      <c r="C26" s="28" t="s">
        <v>103</v>
      </c>
      <c r="D26" s="5">
        <v>0</v>
      </c>
      <c r="E26" s="10">
        <v>-441000</v>
      </c>
      <c r="F26" s="10">
        <v>-25000</v>
      </c>
      <c r="G26" s="10">
        <v>-39500</v>
      </c>
      <c r="H26" s="10">
        <v>0</v>
      </c>
      <c r="I26" s="10"/>
      <c r="J26" s="10"/>
      <c r="K26" s="10">
        <f>SUM(D26:H26)</f>
        <v>-505500</v>
      </c>
      <c r="L26" s="16"/>
      <c r="M26" s="16"/>
      <c r="N26" s="43">
        <f>+K26</f>
        <v>-505500</v>
      </c>
      <c r="O26" s="3">
        <v>0</v>
      </c>
      <c r="P26" s="43">
        <v>-1403526</v>
      </c>
      <c r="Q26" s="3">
        <v>0</v>
      </c>
    </row>
    <row r="27" spans="1:17" ht="12.75">
      <c r="A27" s="28"/>
      <c r="B27" s="28"/>
      <c r="C27" s="28"/>
      <c r="D27" s="5"/>
      <c r="E27" s="10"/>
      <c r="F27" s="10"/>
      <c r="G27" s="10"/>
      <c r="H27" s="10"/>
      <c r="I27" s="10"/>
      <c r="J27" s="10"/>
      <c r="K27" s="10"/>
      <c r="L27" s="16"/>
      <c r="M27" s="16"/>
      <c r="N27" s="43"/>
      <c r="O27" s="3"/>
      <c r="P27" s="43"/>
      <c r="Q27" s="3"/>
    </row>
    <row r="28" spans="1:17" ht="12.75">
      <c r="A28" s="28"/>
      <c r="B28" s="28"/>
      <c r="C28" s="28" t="s">
        <v>104</v>
      </c>
      <c r="D28" s="10">
        <f>+D24+D26</f>
        <v>1562</v>
      </c>
      <c r="E28" s="10">
        <f>+E24+E26</f>
        <v>2495272</v>
      </c>
      <c r="F28" s="10">
        <f aca="true" t="shared" si="2" ref="F28:K28">+F24+F26</f>
        <v>64792</v>
      </c>
      <c r="G28" s="10">
        <f t="shared" si="2"/>
        <v>443806</v>
      </c>
      <c r="H28" s="10">
        <f t="shared" si="2"/>
        <v>173456</v>
      </c>
      <c r="I28" s="10">
        <f t="shared" si="2"/>
        <v>-160978</v>
      </c>
      <c r="J28" s="10">
        <f t="shared" si="2"/>
        <v>-452899</v>
      </c>
      <c r="K28" s="10">
        <f t="shared" si="2"/>
        <v>2565011</v>
      </c>
      <c r="L28" s="16"/>
      <c r="M28" s="16"/>
      <c r="N28" s="10">
        <f>+N24+N26</f>
        <v>3044011</v>
      </c>
      <c r="O28" s="3">
        <v>0</v>
      </c>
      <c r="P28" s="10">
        <v>8410434</v>
      </c>
      <c r="Q28" s="3">
        <v>0</v>
      </c>
    </row>
    <row r="29" spans="1:17" ht="12.75">
      <c r="A29" s="28"/>
      <c r="B29" s="28"/>
      <c r="C29" s="28"/>
      <c r="D29" s="5"/>
      <c r="E29" s="10"/>
      <c r="F29" s="10"/>
      <c r="G29" s="10"/>
      <c r="H29" s="10"/>
      <c r="I29" s="10"/>
      <c r="J29" s="10"/>
      <c r="K29" s="10"/>
      <c r="L29" s="16"/>
      <c r="M29" s="16"/>
      <c r="N29" s="43"/>
      <c r="O29" s="3"/>
      <c r="P29" s="43"/>
      <c r="Q29" s="3"/>
    </row>
    <row r="30" spans="1:17" ht="12.75">
      <c r="A30" s="28"/>
      <c r="B30" s="28"/>
      <c r="C30" s="46" t="s">
        <v>105</v>
      </c>
      <c r="D30" s="5">
        <v>0</v>
      </c>
      <c r="E30" s="10">
        <v>-203632</v>
      </c>
      <c r="F30" s="10">
        <v>0</v>
      </c>
      <c r="G30" s="10">
        <v>0</v>
      </c>
      <c r="H30" s="10"/>
      <c r="I30" s="10"/>
      <c r="J30" s="10"/>
      <c r="K30" s="10">
        <f>SUM(D30:H30)</f>
        <v>-203632</v>
      </c>
      <c r="L30" s="16"/>
      <c r="M30" s="16"/>
      <c r="N30" s="43">
        <f>+K30</f>
        <v>-203632</v>
      </c>
      <c r="O30" s="3">
        <v>0</v>
      </c>
      <c r="P30" s="43">
        <v>-557678</v>
      </c>
      <c r="Q30" s="3">
        <v>0</v>
      </c>
    </row>
    <row r="31" spans="1:17" ht="12.75">
      <c r="A31" s="28"/>
      <c r="B31" s="28"/>
      <c r="C31" s="28"/>
      <c r="D31" s="5"/>
      <c r="E31" s="10"/>
      <c r="F31" s="10"/>
      <c r="G31" s="10"/>
      <c r="H31" s="10"/>
      <c r="I31" s="10"/>
      <c r="J31" s="10"/>
      <c r="K31" s="10"/>
      <c r="L31" s="16"/>
      <c r="M31" s="16"/>
      <c r="N31" s="54"/>
      <c r="O31" s="172"/>
      <c r="P31" s="54"/>
      <c r="Q31" s="172"/>
    </row>
    <row r="32" spans="1:17" ht="12.75" customHeight="1">
      <c r="A32" s="28"/>
      <c r="B32" s="28"/>
      <c r="C32" s="46" t="s">
        <v>106</v>
      </c>
      <c r="D32" s="10">
        <f>SUM(D28:D31)</f>
        <v>1562</v>
      </c>
      <c r="E32" s="10">
        <f>SUM(E28:E31)</f>
        <v>2291640</v>
      </c>
      <c r="F32" s="10">
        <f aca="true" t="shared" si="3" ref="F32:K32">SUM(F28:F31)</f>
        <v>64792</v>
      </c>
      <c r="G32" s="10">
        <f t="shared" si="3"/>
        <v>443806</v>
      </c>
      <c r="H32" s="10">
        <f t="shared" si="3"/>
        <v>173456</v>
      </c>
      <c r="I32" s="10">
        <f t="shared" si="3"/>
        <v>-160978</v>
      </c>
      <c r="J32" s="10">
        <f t="shared" si="3"/>
        <v>-452899</v>
      </c>
      <c r="K32" s="10">
        <f t="shared" si="3"/>
        <v>2361379</v>
      </c>
      <c r="L32" s="94">
        <f>SUM(L11:L31)</f>
        <v>169800</v>
      </c>
      <c r="M32" s="94">
        <f>SUM(M11:M31)</f>
        <v>648800</v>
      </c>
      <c r="N32" s="43">
        <f>SUM(N28:N31)</f>
        <v>2840379</v>
      </c>
      <c r="O32" s="43">
        <f>SUM(O28:O31)</f>
        <v>0</v>
      </c>
      <c r="P32" s="43">
        <f>SUM(P28:P31)</f>
        <v>7852756</v>
      </c>
      <c r="Q32" s="43">
        <f>SUM(Q28:Q31)</f>
        <v>0</v>
      </c>
    </row>
    <row r="33" spans="1:17" ht="12.75" customHeight="1">
      <c r="A33" s="28"/>
      <c r="B33" s="28"/>
      <c r="C33" s="46"/>
      <c r="D33" s="10"/>
      <c r="E33" s="10"/>
      <c r="F33" s="10"/>
      <c r="G33" s="10"/>
      <c r="H33" s="10"/>
      <c r="I33" s="10"/>
      <c r="J33" s="10"/>
      <c r="K33" s="10"/>
      <c r="L33" s="16"/>
      <c r="M33" s="16"/>
      <c r="N33" s="43"/>
      <c r="O33" s="3"/>
      <c r="P33" s="4"/>
      <c r="Q33" s="3"/>
    </row>
    <row r="34" spans="1:17" ht="12.75" customHeight="1">
      <c r="A34" s="28"/>
      <c r="B34" s="28"/>
      <c r="C34" s="46" t="s">
        <v>142</v>
      </c>
      <c r="D34" s="10"/>
      <c r="E34" s="10"/>
      <c r="F34" s="10"/>
      <c r="G34" s="10"/>
      <c r="H34" s="10"/>
      <c r="I34" s="10"/>
      <c r="J34" s="10"/>
      <c r="K34" s="10"/>
      <c r="L34" s="16"/>
      <c r="M34" s="16"/>
      <c r="N34" s="43">
        <v>0</v>
      </c>
      <c r="O34" s="3">
        <v>0</v>
      </c>
      <c r="P34" s="4">
        <v>-5012377</v>
      </c>
      <c r="Q34" s="3">
        <v>0</v>
      </c>
    </row>
    <row r="35" spans="1:17" ht="12.75" customHeight="1">
      <c r="A35" s="28"/>
      <c r="B35" s="28"/>
      <c r="C35" s="46"/>
      <c r="D35" s="10"/>
      <c r="E35" s="10"/>
      <c r="F35" s="10"/>
      <c r="G35" s="10"/>
      <c r="H35" s="10"/>
      <c r="I35" s="10"/>
      <c r="J35" s="10"/>
      <c r="K35" s="10"/>
      <c r="L35" s="16"/>
      <c r="M35" s="16"/>
      <c r="N35" s="43"/>
      <c r="O35" s="3"/>
      <c r="P35" s="4"/>
      <c r="Q35" s="3"/>
    </row>
    <row r="36" spans="1:17" ht="12.75" customHeight="1" thickBot="1">
      <c r="A36" s="28"/>
      <c r="B36" s="28"/>
      <c r="C36" s="46" t="s">
        <v>143</v>
      </c>
      <c r="D36" s="10"/>
      <c r="E36" s="10"/>
      <c r="F36" s="10"/>
      <c r="G36" s="10"/>
      <c r="H36" s="10"/>
      <c r="I36" s="10"/>
      <c r="J36" s="10"/>
      <c r="K36" s="10"/>
      <c r="L36" s="16"/>
      <c r="M36" s="16"/>
      <c r="N36" s="45">
        <f>+N32</f>
        <v>2840379</v>
      </c>
      <c r="O36" s="173">
        <v>0</v>
      </c>
      <c r="P36" s="45">
        <v>2840379</v>
      </c>
      <c r="Q36" s="173">
        <v>0</v>
      </c>
    </row>
    <row r="37" spans="1:14" ht="15" customHeight="1" hidden="1" thickTop="1">
      <c r="A37" s="28"/>
      <c r="B37" s="28"/>
      <c r="C37" s="46"/>
      <c r="D37" s="10"/>
      <c r="E37" s="10"/>
      <c r="F37" s="10"/>
      <c r="G37" s="10"/>
      <c r="H37" s="10"/>
      <c r="I37" s="10"/>
      <c r="J37" s="10"/>
      <c r="K37" s="10"/>
      <c r="L37" s="16"/>
      <c r="M37" s="16"/>
      <c r="N37" s="43">
        <v>-11674</v>
      </c>
    </row>
    <row r="38" spans="1:14" ht="12.75" customHeight="1" hidden="1" thickBot="1">
      <c r="A38" s="28"/>
      <c r="B38" s="28"/>
      <c r="C38" s="46"/>
      <c r="D38" s="10"/>
      <c r="E38" s="10"/>
      <c r="F38" s="10"/>
      <c r="G38" s="10"/>
      <c r="H38" s="10"/>
      <c r="I38" s="10"/>
      <c r="J38" s="10"/>
      <c r="K38" s="10"/>
      <c r="L38" s="16"/>
      <c r="M38" s="16"/>
      <c r="N38" s="45">
        <f>SUM(N36:N37)</f>
        <v>2828705</v>
      </c>
    </row>
    <row r="39" spans="1:14" ht="19.5" customHeight="1" thickTop="1">
      <c r="A39" s="28"/>
      <c r="B39" s="28"/>
      <c r="C39" s="46"/>
      <c r="D39" s="10"/>
      <c r="E39" s="10"/>
      <c r="F39" s="10"/>
      <c r="G39" s="10"/>
      <c r="H39" s="10"/>
      <c r="I39" s="10"/>
      <c r="J39" s="10"/>
      <c r="K39" s="10"/>
      <c r="L39" s="16"/>
      <c r="M39" s="16"/>
      <c r="N39" s="43"/>
    </row>
    <row r="40" spans="1:14" ht="19.5" customHeight="1">
      <c r="A40" s="28"/>
      <c r="B40" s="28"/>
      <c r="C40" s="46" t="s">
        <v>164</v>
      </c>
      <c r="D40" s="10"/>
      <c r="E40" s="10"/>
      <c r="F40" s="10"/>
      <c r="G40" s="10"/>
      <c r="H40" s="10"/>
      <c r="I40" s="10"/>
      <c r="J40" s="10"/>
      <c r="K40" s="10"/>
      <c r="L40" s="16"/>
      <c r="M40" s="16"/>
      <c r="N40" s="43"/>
    </row>
    <row r="41" spans="3:16" ht="19.5" customHeight="1">
      <c r="C41" t="s">
        <v>165</v>
      </c>
      <c r="D41" s="2"/>
      <c r="L41" s="16"/>
      <c r="M41" s="95" t="s">
        <v>108</v>
      </c>
      <c r="N41" s="191">
        <v>4.44</v>
      </c>
      <c r="P41" s="191">
        <v>4.44</v>
      </c>
    </row>
    <row r="42" spans="3:16" ht="19.5" customHeight="1">
      <c r="C42" t="s">
        <v>166</v>
      </c>
      <c r="D42" s="2"/>
      <c r="L42" s="16"/>
      <c r="M42" s="95" t="s">
        <v>110</v>
      </c>
      <c r="N42" s="191">
        <v>4.44</v>
      </c>
      <c r="P42" s="191">
        <v>4.44</v>
      </c>
    </row>
    <row r="43" spans="4:16" ht="19.5" customHeight="1">
      <c r="D43" s="2"/>
      <c r="L43" s="16"/>
      <c r="M43" s="95"/>
      <c r="N43" s="191"/>
      <c r="P43" s="191"/>
    </row>
    <row r="44" spans="4:13" ht="12.75">
      <c r="D44" s="2"/>
      <c r="L44" s="16"/>
      <c r="M44" s="16"/>
    </row>
    <row r="45" spans="3:13" ht="12.75">
      <c r="C45" t="s">
        <v>167</v>
      </c>
      <c r="D45" s="2"/>
      <c r="L45" s="16"/>
      <c r="M45" s="16"/>
    </row>
    <row r="46" ht="12.75">
      <c r="D46" s="2"/>
    </row>
    <row r="47" spans="3:4" ht="12.75">
      <c r="C47" t="s">
        <v>168</v>
      </c>
      <c r="D47" s="2"/>
    </row>
    <row r="48" spans="3:4" ht="12.75">
      <c r="C48" t="s">
        <v>171</v>
      </c>
      <c r="D48" s="2"/>
    </row>
    <row r="49" spans="3:4" ht="12.75">
      <c r="C49" t="s">
        <v>170</v>
      </c>
      <c r="D49" s="2"/>
    </row>
    <row r="50" ht="12.75">
      <c r="D50" s="2"/>
    </row>
    <row r="51" spans="3:4" ht="12.75">
      <c r="C51" t="s">
        <v>172</v>
      </c>
      <c r="D51" s="2"/>
    </row>
    <row r="52" spans="3:4" ht="12.75">
      <c r="C52" t="s">
        <v>169</v>
      </c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</sheetData>
  <printOptions gridLines="1" horizontalCentered="1"/>
  <pageMargins left="0.25" right="0.25" top="0.25" bottom="0.25" header="0.5" footer="0.5"/>
  <pageSetup fitToHeight="1" fitToWidth="1" horizontalDpi="300" verticalDpi="300" orientation="portrait" paperSize="9" scale="99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85" zoomScaleNormal="85" workbookViewId="0" topLeftCell="A51">
      <selection activeCell="C68" sqref="C68"/>
    </sheetView>
  </sheetViews>
  <sheetFormatPr defaultColWidth="9.140625" defaultRowHeight="12.75"/>
  <cols>
    <col min="1" max="1" width="5.28125" style="0" customWidth="1"/>
    <col min="2" max="2" width="2.7109375" style="0" customWidth="1"/>
    <col min="3" max="3" width="50.7109375" style="0" customWidth="1"/>
    <col min="4" max="4" width="11.421875" style="42" hidden="1" customWidth="1"/>
    <col min="5" max="5" width="16.140625" style="42" hidden="1" customWidth="1"/>
    <col min="6" max="6" width="12.28125" style="42" hidden="1" customWidth="1"/>
    <col min="7" max="11" width="15.421875" style="42" hidden="1" customWidth="1"/>
    <col min="12" max="12" width="20.7109375" style="107" customWidth="1"/>
    <col min="13" max="13" width="12.8515625" style="42" hidden="1" customWidth="1"/>
    <col min="14" max="14" width="13.28125" style="42" hidden="1" customWidth="1"/>
    <col min="15" max="16" width="12.8515625" style="42" hidden="1" customWidth="1"/>
    <col min="17" max="17" width="15.421875" style="42" hidden="1" customWidth="1"/>
    <col min="18" max="18" width="2.421875" style="8" hidden="1" customWidth="1"/>
    <col min="19" max="19" width="20.7109375" style="0" customWidth="1"/>
    <col min="20" max="20" width="12.28125" style="0" bestFit="1" customWidth="1"/>
    <col min="22" max="22" width="14.28125" style="0" bestFit="1" customWidth="1"/>
    <col min="23" max="23" width="11.28125" style="0" bestFit="1" customWidth="1"/>
  </cols>
  <sheetData>
    <row r="1" spans="4:17" ht="12.75">
      <c r="D1" s="6"/>
      <c r="E1" s="6"/>
      <c r="F1" s="6"/>
      <c r="G1" s="6"/>
      <c r="H1" s="6"/>
      <c r="I1" s="6"/>
      <c r="J1" s="6"/>
      <c r="K1" s="6"/>
      <c r="L1" s="96"/>
      <c r="M1" s="6"/>
      <c r="N1" s="6"/>
      <c r="O1" s="6"/>
      <c r="P1" s="6"/>
      <c r="Q1" s="6"/>
    </row>
    <row r="2" spans="1:17" ht="12.75">
      <c r="A2" s="28"/>
      <c r="B2" s="48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97"/>
      <c r="M2" s="10"/>
      <c r="N2" s="10"/>
      <c r="O2" s="10"/>
      <c r="P2" s="10"/>
      <c r="Q2" s="10"/>
    </row>
    <row r="3" spans="1:17" ht="12.75">
      <c r="A3" s="28"/>
      <c r="B3" s="48" t="s">
        <v>147</v>
      </c>
      <c r="C3" s="10"/>
      <c r="D3" s="10"/>
      <c r="E3" s="10"/>
      <c r="F3" s="10"/>
      <c r="G3" s="10"/>
      <c r="H3" s="10"/>
      <c r="I3" s="10"/>
      <c r="J3" s="10"/>
      <c r="K3" s="10"/>
      <c r="L3" s="97"/>
      <c r="M3" s="10"/>
      <c r="N3" s="10"/>
      <c r="O3" s="10"/>
      <c r="P3" s="10"/>
      <c r="Q3" s="10"/>
    </row>
    <row r="4" spans="1:17" ht="12.75">
      <c r="A4" s="28"/>
      <c r="B4" s="48"/>
      <c r="C4" s="10"/>
      <c r="D4" s="10"/>
      <c r="E4" s="10"/>
      <c r="F4" s="10"/>
      <c r="G4" s="10"/>
      <c r="H4" s="10"/>
      <c r="I4" s="10"/>
      <c r="J4" s="10"/>
      <c r="K4" s="10"/>
      <c r="L4" s="97"/>
      <c r="M4" s="10"/>
      <c r="N4" s="10"/>
      <c r="O4" s="10"/>
      <c r="P4" s="10"/>
      <c r="Q4" s="10"/>
    </row>
    <row r="5" spans="1:19" ht="12.75">
      <c r="A5" s="28"/>
      <c r="B5" s="48"/>
      <c r="C5" s="10"/>
      <c r="D5" s="10"/>
      <c r="E5" s="10"/>
      <c r="F5" s="10"/>
      <c r="G5" s="10"/>
      <c r="H5" s="10"/>
      <c r="I5" s="10"/>
      <c r="J5" s="10"/>
      <c r="K5" s="10"/>
      <c r="L5" s="159" t="s">
        <v>148</v>
      </c>
      <c r="M5" s="160"/>
      <c r="N5" s="157" t="s">
        <v>7</v>
      </c>
      <c r="O5" s="160"/>
      <c r="P5" s="160"/>
      <c r="Q5" s="157" t="s">
        <v>8</v>
      </c>
      <c r="R5" s="161"/>
      <c r="S5" s="162" t="s">
        <v>150</v>
      </c>
    </row>
    <row r="6" spans="1:19" ht="12.75">
      <c r="A6" s="28"/>
      <c r="B6" s="48"/>
      <c r="C6" s="10"/>
      <c r="D6" s="10"/>
      <c r="E6" s="10"/>
      <c r="F6" s="10"/>
      <c r="G6" s="10"/>
      <c r="H6" s="10"/>
      <c r="I6" s="10"/>
      <c r="J6" s="10"/>
      <c r="K6" s="10"/>
      <c r="L6" s="163" t="s">
        <v>149</v>
      </c>
      <c r="M6" s="160"/>
      <c r="N6" s="157"/>
      <c r="O6" s="160"/>
      <c r="P6" s="160"/>
      <c r="Q6" s="157"/>
      <c r="R6" s="161"/>
      <c r="S6" s="164" t="s">
        <v>151</v>
      </c>
    </row>
    <row r="7" spans="1:19" ht="12.75">
      <c r="A7" s="28"/>
      <c r="B7" s="48"/>
      <c r="C7" s="10"/>
      <c r="D7" s="10"/>
      <c r="E7" s="10"/>
      <c r="F7" s="10"/>
      <c r="G7" s="10"/>
      <c r="H7" s="10"/>
      <c r="I7" s="10"/>
      <c r="J7" s="10"/>
      <c r="K7" s="10"/>
      <c r="L7" s="184" t="s">
        <v>129</v>
      </c>
      <c r="M7" s="160"/>
      <c r="N7" s="157"/>
      <c r="O7" s="160"/>
      <c r="P7" s="160"/>
      <c r="Q7" s="157"/>
      <c r="R7" s="161"/>
      <c r="S7" s="181" t="s">
        <v>152</v>
      </c>
    </row>
    <row r="8" spans="1:19" ht="12.75">
      <c r="A8" s="28"/>
      <c r="B8" s="158"/>
      <c r="C8" s="31"/>
      <c r="D8" s="31"/>
      <c r="E8" s="31"/>
      <c r="F8" s="31"/>
      <c r="G8" s="31"/>
      <c r="H8" s="31"/>
      <c r="I8" s="31"/>
      <c r="J8" s="31"/>
      <c r="K8" s="31"/>
      <c r="L8" s="185" t="s">
        <v>40</v>
      </c>
      <c r="M8" s="165"/>
      <c r="N8" s="166"/>
      <c r="O8" s="165"/>
      <c r="P8" s="165"/>
      <c r="Q8" s="166"/>
      <c r="R8" s="167"/>
      <c r="S8" s="171" t="s">
        <v>40</v>
      </c>
    </row>
    <row r="9" spans="2:19" ht="12.75">
      <c r="B9" s="9" t="s">
        <v>48</v>
      </c>
      <c r="C9" s="10"/>
      <c r="D9" s="11"/>
      <c r="E9" s="11">
        <v>20556459</v>
      </c>
      <c r="F9" s="11">
        <v>4231916</v>
      </c>
      <c r="G9" s="11">
        <v>5502</v>
      </c>
      <c r="H9" s="11">
        <v>3922130</v>
      </c>
      <c r="I9" s="11">
        <v>5286558</v>
      </c>
      <c r="J9" s="11">
        <v>0</v>
      </c>
      <c r="K9" s="11"/>
      <c r="L9" s="98">
        <f>SUM(D9:K9)</f>
        <v>34002565</v>
      </c>
      <c r="M9" s="11"/>
      <c r="N9" s="11">
        <f>SUM(L9:M9)</f>
        <v>34002565</v>
      </c>
      <c r="O9" s="11"/>
      <c r="P9" s="11"/>
      <c r="Q9" s="11">
        <f>SUM(N9:O9)</f>
        <v>34002565</v>
      </c>
      <c r="S9" s="85">
        <v>0</v>
      </c>
    </row>
    <row r="10" spans="2:20" ht="12.75">
      <c r="B10" s="9" t="s">
        <v>49</v>
      </c>
      <c r="C10" s="10"/>
      <c r="D10" s="11"/>
      <c r="E10" s="11">
        <v>673835</v>
      </c>
      <c r="F10" s="11"/>
      <c r="G10" s="11"/>
      <c r="H10" s="11"/>
      <c r="I10" s="11"/>
      <c r="J10" s="11"/>
      <c r="K10" s="11"/>
      <c r="L10" s="98">
        <f>SUM(D10:K10)</f>
        <v>673835</v>
      </c>
      <c r="M10" s="11"/>
      <c r="N10" s="11">
        <f>SUM(L10)</f>
        <v>673835</v>
      </c>
      <c r="O10" s="11"/>
      <c r="P10" s="11"/>
      <c r="Q10" s="11">
        <v>1063738</v>
      </c>
      <c r="S10" s="85">
        <v>0</v>
      </c>
      <c r="T10" s="53"/>
    </row>
    <row r="11" spans="2:19" ht="12.75">
      <c r="B11" s="9" t="s">
        <v>52</v>
      </c>
      <c r="C11" s="10"/>
      <c r="D11" s="11"/>
      <c r="E11" s="11">
        <v>18150</v>
      </c>
      <c r="F11" s="11"/>
      <c r="G11" s="11"/>
      <c r="H11" s="11"/>
      <c r="I11" s="11"/>
      <c r="J11" s="11"/>
      <c r="K11" s="11"/>
      <c r="L11" s="98">
        <f>SUM(D11:K11)</f>
        <v>18150</v>
      </c>
      <c r="M11" s="11"/>
      <c r="N11" s="11">
        <f>SUM(L11:M11)</f>
        <v>18150</v>
      </c>
      <c r="O11" s="11"/>
      <c r="P11" s="11"/>
      <c r="Q11" s="11">
        <f>SUM(N11:O11)</f>
        <v>18150</v>
      </c>
      <c r="S11" s="85">
        <v>0</v>
      </c>
    </row>
    <row r="12" spans="2:19" ht="12.75">
      <c r="B12" s="9" t="s">
        <v>53</v>
      </c>
      <c r="C12" s="10"/>
      <c r="D12" s="11">
        <v>35578648</v>
      </c>
      <c r="E12" s="11">
        <v>0</v>
      </c>
      <c r="F12" s="11"/>
      <c r="G12" s="11"/>
      <c r="H12" s="11"/>
      <c r="I12" s="11"/>
      <c r="J12" s="11"/>
      <c r="K12" s="11"/>
      <c r="L12" s="98">
        <v>0</v>
      </c>
      <c r="M12" s="11"/>
      <c r="N12" s="11"/>
      <c r="O12" s="11"/>
      <c r="P12" s="11"/>
      <c r="Q12" s="11"/>
      <c r="S12" s="85">
        <v>0</v>
      </c>
    </row>
    <row r="13" spans="2:19" ht="12.75">
      <c r="B13" s="9" t="s">
        <v>141</v>
      </c>
      <c r="C13" s="10"/>
      <c r="D13" s="11"/>
      <c r="E13" s="11">
        <v>471068</v>
      </c>
      <c r="F13" s="11"/>
      <c r="G13" s="11"/>
      <c r="H13" s="11"/>
      <c r="I13" s="11"/>
      <c r="J13" s="11"/>
      <c r="K13" s="11"/>
      <c r="L13" s="99">
        <v>1066911</v>
      </c>
      <c r="M13" s="11"/>
      <c r="N13" s="11"/>
      <c r="O13" s="11"/>
      <c r="P13" s="11"/>
      <c r="Q13" s="11"/>
      <c r="S13" s="85">
        <v>0</v>
      </c>
    </row>
    <row r="14" spans="2:19" ht="12.75">
      <c r="B14" s="9" t="s">
        <v>51</v>
      </c>
      <c r="C14" s="10"/>
      <c r="D14" s="11"/>
      <c r="E14" s="11"/>
      <c r="F14" s="11"/>
      <c r="G14" s="11"/>
      <c r="H14" s="11"/>
      <c r="I14" s="11"/>
      <c r="J14" s="11"/>
      <c r="K14" s="11"/>
      <c r="L14" s="98">
        <f>SUM(D14:K14)</f>
        <v>0</v>
      </c>
      <c r="M14" s="11"/>
      <c r="N14" s="11"/>
      <c r="O14" s="11"/>
      <c r="P14" s="11"/>
      <c r="Q14" s="11"/>
      <c r="S14" s="85">
        <v>0</v>
      </c>
    </row>
    <row r="15" spans="2:19" ht="12.75">
      <c r="B15" s="9" t="s">
        <v>50</v>
      </c>
      <c r="C15" s="10"/>
      <c r="D15" s="11"/>
      <c r="E15" s="11"/>
      <c r="F15" s="11"/>
      <c r="G15" s="11"/>
      <c r="H15" s="11"/>
      <c r="I15" s="11"/>
      <c r="J15" s="11"/>
      <c r="K15" s="11"/>
      <c r="L15" s="98">
        <f>SUM(D15:K15)</f>
        <v>0</v>
      </c>
      <c r="M15" s="11"/>
      <c r="N15" s="11">
        <v>19998</v>
      </c>
      <c r="O15" s="11"/>
      <c r="P15" s="11"/>
      <c r="Q15" s="11">
        <v>19998</v>
      </c>
      <c r="S15" s="85">
        <v>0</v>
      </c>
    </row>
    <row r="16" spans="2:19" ht="12.75">
      <c r="B16" s="9" t="s">
        <v>13</v>
      </c>
      <c r="C16" s="10"/>
      <c r="D16" s="11"/>
      <c r="E16" s="11"/>
      <c r="F16" s="11"/>
      <c r="G16" s="11"/>
      <c r="H16" s="11"/>
      <c r="I16" s="27"/>
      <c r="J16" s="27"/>
      <c r="K16" s="27"/>
      <c r="L16" s="100"/>
      <c r="M16" s="11"/>
      <c r="N16" s="11"/>
      <c r="O16" s="11"/>
      <c r="P16" s="11"/>
      <c r="Q16" s="11"/>
      <c r="S16" s="86"/>
    </row>
    <row r="17" spans="2:19" ht="12.75">
      <c r="B17" s="9"/>
      <c r="C17" s="13" t="s">
        <v>54</v>
      </c>
      <c r="D17" s="12"/>
      <c r="E17" s="12">
        <f>9728762+344790</f>
        <v>10073552</v>
      </c>
      <c r="F17" s="12">
        <v>532512</v>
      </c>
      <c r="G17" s="12">
        <v>270872</v>
      </c>
      <c r="H17" s="12">
        <v>2504224</v>
      </c>
      <c r="I17" s="11">
        <v>1021733</v>
      </c>
      <c r="J17" s="11"/>
      <c r="K17" s="11"/>
      <c r="L17" s="98">
        <f aca="true" t="shared" si="0" ref="L17:L25">SUM(D17:K17)</f>
        <v>14402893</v>
      </c>
      <c r="M17" s="12"/>
      <c r="N17" s="12">
        <f>SUM(L17:M17)</f>
        <v>14402893</v>
      </c>
      <c r="O17" s="12"/>
      <c r="P17" s="12"/>
      <c r="Q17" s="12">
        <f>SUM(N17:O17)</f>
        <v>14402893</v>
      </c>
      <c r="S17" s="85">
        <v>0</v>
      </c>
    </row>
    <row r="18" spans="2:19" ht="12.75">
      <c r="B18" s="9"/>
      <c r="C18" s="13" t="s">
        <v>55</v>
      </c>
      <c r="D18" s="11"/>
      <c r="E18" s="11">
        <v>8474169</v>
      </c>
      <c r="F18" s="11">
        <v>1658830</v>
      </c>
      <c r="G18" s="11">
        <v>1036485</v>
      </c>
      <c r="H18" s="11">
        <v>2426032</v>
      </c>
      <c r="I18" s="11">
        <v>250851</v>
      </c>
      <c r="J18" s="11"/>
      <c r="K18" s="11">
        <v>-745579</v>
      </c>
      <c r="L18" s="98">
        <f t="shared" si="0"/>
        <v>13100788</v>
      </c>
      <c r="M18" s="11"/>
      <c r="N18" s="11">
        <f>SUM(L18:M18)</f>
        <v>13100788</v>
      </c>
      <c r="O18" s="11"/>
      <c r="P18" s="11"/>
      <c r="Q18" s="11">
        <f>SUM(N18:O18)</f>
        <v>13100788</v>
      </c>
      <c r="S18" s="85">
        <v>0</v>
      </c>
    </row>
    <row r="19" spans="2:19" ht="12.75">
      <c r="B19" s="9"/>
      <c r="C19" s="13" t="s">
        <v>58</v>
      </c>
      <c r="D19" s="11"/>
      <c r="E19" s="11">
        <v>973029</v>
      </c>
      <c r="F19" s="11">
        <v>88554</v>
      </c>
      <c r="G19" s="11">
        <v>5625</v>
      </c>
      <c r="H19" s="11">
        <v>849349</v>
      </c>
      <c r="I19" s="11">
        <v>267798</v>
      </c>
      <c r="J19" s="11"/>
      <c r="K19" s="11">
        <v>-743423</v>
      </c>
      <c r="L19" s="98">
        <f t="shared" si="0"/>
        <v>1440932</v>
      </c>
      <c r="M19" s="11"/>
      <c r="N19" s="11">
        <f>SUM(L19:M19)</f>
        <v>1440932</v>
      </c>
      <c r="O19" s="11"/>
      <c r="P19" s="11">
        <v>-268399</v>
      </c>
      <c r="Q19" s="11">
        <f>SUM(N19:P19)</f>
        <v>1172533</v>
      </c>
      <c r="S19" s="85">
        <v>0</v>
      </c>
    </row>
    <row r="20" spans="2:19" ht="12.75">
      <c r="B20" s="9"/>
      <c r="C20" s="13" t="s">
        <v>62</v>
      </c>
      <c r="D20" s="11"/>
      <c r="E20" s="11">
        <v>354000</v>
      </c>
      <c r="F20" s="11"/>
      <c r="G20" s="11"/>
      <c r="H20" s="11"/>
      <c r="I20" s="11"/>
      <c r="J20" s="11"/>
      <c r="K20" s="11"/>
      <c r="L20" s="98">
        <f t="shared" si="0"/>
        <v>354000</v>
      </c>
      <c r="M20" s="11"/>
      <c r="N20" s="11"/>
      <c r="O20" s="11"/>
      <c r="P20" s="11"/>
      <c r="Q20" s="11"/>
      <c r="S20" s="85">
        <v>0</v>
      </c>
    </row>
    <row r="21" spans="2:19" ht="12.75">
      <c r="B21" s="9"/>
      <c r="C21" s="13" t="s">
        <v>14</v>
      </c>
      <c r="D21" s="11"/>
      <c r="E21" s="47">
        <v>343</v>
      </c>
      <c r="F21" s="11"/>
      <c r="G21" s="11">
        <f>12479+2330</f>
        <v>14809</v>
      </c>
      <c r="H21" s="11">
        <v>101552</v>
      </c>
      <c r="I21" s="11"/>
      <c r="J21" s="11"/>
      <c r="K21" s="11"/>
      <c r="L21" s="98">
        <f t="shared" si="0"/>
        <v>116704</v>
      </c>
      <c r="M21" s="11"/>
      <c r="N21" s="11">
        <f>SUM(L21)</f>
        <v>116704</v>
      </c>
      <c r="O21" s="11"/>
      <c r="P21" s="11"/>
      <c r="Q21" s="11">
        <v>233349</v>
      </c>
      <c r="S21" s="85">
        <v>0</v>
      </c>
    </row>
    <row r="22" spans="2:19" ht="12.75">
      <c r="B22" s="9"/>
      <c r="C22" s="13" t="s">
        <v>15</v>
      </c>
      <c r="D22" s="11">
        <v>6788260</v>
      </c>
      <c r="E22" s="11">
        <v>6318873</v>
      </c>
      <c r="F22" s="11">
        <v>68740</v>
      </c>
      <c r="G22" s="11"/>
      <c r="H22" s="11"/>
      <c r="I22" s="11"/>
      <c r="J22" s="11">
        <v>5653292</v>
      </c>
      <c r="K22" s="11">
        <v>-18829165</v>
      </c>
      <c r="L22" s="98">
        <f t="shared" si="0"/>
        <v>0</v>
      </c>
      <c r="M22" s="11"/>
      <c r="N22" s="11">
        <f>SUM(L22:M22)</f>
        <v>0</v>
      </c>
      <c r="O22" s="11"/>
      <c r="P22" s="11"/>
      <c r="Q22" s="11">
        <f>SUM(N22:O22)</f>
        <v>0</v>
      </c>
      <c r="S22" s="85">
        <v>0</v>
      </c>
    </row>
    <row r="23" spans="2:19" ht="12.75">
      <c r="B23" s="14"/>
      <c r="C23" s="15" t="s">
        <v>57</v>
      </c>
      <c r="D23" s="11"/>
      <c r="E23" s="11">
        <v>675891</v>
      </c>
      <c r="F23" s="11"/>
      <c r="G23" s="11">
        <v>101607</v>
      </c>
      <c r="H23" s="11">
        <v>459311</v>
      </c>
      <c r="I23" s="11"/>
      <c r="J23" s="11"/>
      <c r="K23" s="11"/>
      <c r="L23" s="98">
        <f t="shared" si="0"/>
        <v>1236809</v>
      </c>
      <c r="M23" s="11"/>
      <c r="N23" s="11">
        <f>SUM(L23:M23)</f>
        <v>1236809</v>
      </c>
      <c r="O23" s="11"/>
      <c r="P23" s="11"/>
      <c r="Q23" s="11">
        <f>SUM(N23:O23)</f>
        <v>1236809</v>
      </c>
      <c r="S23" s="85">
        <v>0</v>
      </c>
    </row>
    <row r="24" spans="2:19" ht="12.75">
      <c r="B24" s="14"/>
      <c r="C24" s="15" t="s">
        <v>56</v>
      </c>
      <c r="D24" s="11">
        <v>51515</v>
      </c>
      <c r="E24" s="47">
        <v>9016402</v>
      </c>
      <c r="F24" s="11">
        <v>18035</v>
      </c>
      <c r="G24" s="11">
        <v>253920</v>
      </c>
      <c r="H24" s="11">
        <v>18383</v>
      </c>
      <c r="I24" s="11">
        <v>94017</v>
      </c>
      <c r="J24" s="11">
        <f>23836+10</f>
        <v>23846</v>
      </c>
      <c r="K24" s="11"/>
      <c r="L24" s="98">
        <f t="shared" si="0"/>
        <v>9476118</v>
      </c>
      <c r="M24" s="11">
        <v>6835518</v>
      </c>
      <c r="N24" s="11">
        <f>SUM(L24:M24)</f>
        <v>16311636</v>
      </c>
      <c r="O24" s="11">
        <v>8640000</v>
      </c>
      <c r="P24" s="11">
        <v>-1500000</v>
      </c>
      <c r="Q24" s="11">
        <f>SUM(N24:P24)</f>
        <v>23451636</v>
      </c>
      <c r="S24" s="85">
        <v>0</v>
      </c>
    </row>
    <row r="25" spans="2:19" ht="12.75">
      <c r="B25" s="14"/>
      <c r="C25" s="16"/>
      <c r="D25" s="17">
        <f aca="true" t="shared" si="1" ref="D25:K25">SUM(D17:D24)</f>
        <v>6839775</v>
      </c>
      <c r="E25" s="17">
        <f>SUM(E17:E24)</f>
        <v>35886259</v>
      </c>
      <c r="F25" s="17">
        <f t="shared" si="1"/>
        <v>2366671</v>
      </c>
      <c r="G25" s="17">
        <f t="shared" si="1"/>
        <v>1683318</v>
      </c>
      <c r="H25" s="17">
        <f t="shared" si="1"/>
        <v>6358851</v>
      </c>
      <c r="I25" s="17">
        <f>SUM(I17:I24)</f>
        <v>1634399</v>
      </c>
      <c r="J25" s="17">
        <f>SUM(J17:J24)</f>
        <v>5677138</v>
      </c>
      <c r="K25" s="17">
        <f t="shared" si="1"/>
        <v>-20318167</v>
      </c>
      <c r="L25" s="101">
        <f t="shared" si="0"/>
        <v>40128244</v>
      </c>
      <c r="M25" s="17">
        <f>SUM(M17:M24)</f>
        <v>6835518</v>
      </c>
      <c r="N25" s="17">
        <f>SUM(N17:N24)</f>
        <v>46609762</v>
      </c>
      <c r="O25" s="17">
        <f>SUM(O17:O24)</f>
        <v>8640000</v>
      </c>
      <c r="P25" s="17">
        <f>SUM(P17:P24)</f>
        <v>-1768399</v>
      </c>
      <c r="Q25" s="17">
        <f>SUM(Q17:Q24)</f>
        <v>53598008</v>
      </c>
      <c r="S25" s="83">
        <f>SUM(S17:S24)</f>
        <v>0</v>
      </c>
    </row>
    <row r="26" spans="2:19" ht="12.75">
      <c r="B26" s="14" t="s">
        <v>16</v>
      </c>
      <c r="C26" s="16"/>
      <c r="D26" s="11"/>
      <c r="E26" s="11"/>
      <c r="F26" s="11"/>
      <c r="G26" s="11"/>
      <c r="H26" s="11"/>
      <c r="I26" s="11"/>
      <c r="J26" s="11"/>
      <c r="K26" s="11"/>
      <c r="L26" s="98"/>
      <c r="M26" s="11"/>
      <c r="N26" s="11"/>
      <c r="O26" s="11"/>
      <c r="P26" s="11"/>
      <c r="Q26" s="11"/>
      <c r="S26" s="85"/>
    </row>
    <row r="27" spans="2:19" ht="12.75">
      <c r="B27" s="14"/>
      <c r="C27" s="15" t="s">
        <v>59</v>
      </c>
      <c r="D27" s="11"/>
      <c r="E27" s="11">
        <v>4258853</v>
      </c>
      <c r="F27" s="11">
        <v>628795</v>
      </c>
      <c r="G27" s="11">
        <v>350622</v>
      </c>
      <c r="H27" s="11">
        <v>890137</v>
      </c>
      <c r="I27" s="11">
        <v>110836</v>
      </c>
      <c r="J27" s="11"/>
      <c r="K27" s="11">
        <v>-814319</v>
      </c>
      <c r="L27" s="98">
        <f aca="true" t="shared" si="2" ref="L27:L34">SUM(D27:K27)</f>
        <v>5424924</v>
      </c>
      <c r="M27" s="11"/>
      <c r="N27" s="11">
        <f aca="true" t="shared" si="3" ref="N27:N33">SUM(L27:M27)</f>
        <v>5424924</v>
      </c>
      <c r="O27" s="11"/>
      <c r="P27" s="11"/>
      <c r="Q27" s="11">
        <f aca="true" t="shared" si="4" ref="Q27:Q33">SUM(N27:O27)</f>
        <v>5424924</v>
      </c>
      <c r="S27" s="85">
        <v>0</v>
      </c>
    </row>
    <row r="28" spans="2:19" ht="12.75">
      <c r="B28" s="14"/>
      <c r="C28" s="15" t="s">
        <v>60</v>
      </c>
      <c r="D28" s="11">
        <v>34933</v>
      </c>
      <c r="E28" s="11">
        <v>2043996</v>
      </c>
      <c r="F28" s="11">
        <v>169836</v>
      </c>
      <c r="G28" s="11">
        <v>30035</v>
      </c>
      <c r="H28" s="11">
        <v>1228706</v>
      </c>
      <c r="I28" s="11">
        <v>5781</v>
      </c>
      <c r="J28" s="11">
        <v>4085</v>
      </c>
      <c r="K28" s="11">
        <v>-17459</v>
      </c>
      <c r="L28" s="98">
        <f t="shared" si="2"/>
        <v>3499913</v>
      </c>
      <c r="M28" s="11"/>
      <c r="N28" s="11">
        <f t="shared" si="3"/>
        <v>3499913</v>
      </c>
      <c r="O28" s="11"/>
      <c r="P28" s="11"/>
      <c r="Q28" s="11">
        <f t="shared" si="4"/>
        <v>3499913</v>
      </c>
      <c r="S28" s="85">
        <v>0</v>
      </c>
    </row>
    <row r="29" spans="2:19" ht="12.75">
      <c r="B29" s="14"/>
      <c r="C29" s="13" t="s">
        <v>17</v>
      </c>
      <c r="D29" s="11">
        <v>5012771</v>
      </c>
      <c r="E29" s="11">
        <v>3970729</v>
      </c>
      <c r="F29" s="11">
        <v>1008979</v>
      </c>
      <c r="G29" s="11"/>
      <c r="H29" s="11"/>
      <c r="I29" s="11">
        <v>866907</v>
      </c>
      <c r="J29" s="11">
        <v>6116131</v>
      </c>
      <c r="K29" s="11">
        <v>-16975517</v>
      </c>
      <c r="L29" s="98">
        <f t="shared" si="2"/>
        <v>0</v>
      </c>
      <c r="M29" s="11"/>
      <c r="N29" s="11"/>
      <c r="O29" s="11"/>
      <c r="P29" s="11"/>
      <c r="Q29" s="11"/>
      <c r="S29" s="85">
        <v>0</v>
      </c>
    </row>
    <row r="30" spans="2:19" ht="12.75">
      <c r="B30" s="14"/>
      <c r="C30" s="15" t="s">
        <v>18</v>
      </c>
      <c r="D30" s="11"/>
      <c r="E30" s="11">
        <v>6700930</v>
      </c>
      <c r="F30" s="11">
        <v>0</v>
      </c>
      <c r="G30" s="11"/>
      <c r="H30" s="11">
        <v>1600000</v>
      </c>
      <c r="I30" s="11"/>
      <c r="J30" s="11"/>
      <c r="K30" s="11"/>
      <c r="L30" s="98">
        <f t="shared" si="2"/>
        <v>8300930</v>
      </c>
      <c r="M30" s="11"/>
      <c r="N30" s="11">
        <f t="shared" si="3"/>
        <v>8300930</v>
      </c>
      <c r="O30" s="11"/>
      <c r="P30" s="11"/>
      <c r="Q30" s="11">
        <f t="shared" si="4"/>
        <v>8300930</v>
      </c>
      <c r="S30" s="85">
        <v>0</v>
      </c>
    </row>
    <row r="31" spans="2:20" ht="12.75">
      <c r="B31" s="14"/>
      <c r="C31" s="16" t="s">
        <v>19</v>
      </c>
      <c r="D31" s="11"/>
      <c r="E31" s="11">
        <v>4309909</v>
      </c>
      <c r="F31" s="11">
        <v>243670</v>
      </c>
      <c r="G31" s="11"/>
      <c r="H31" s="11">
        <v>2249352</v>
      </c>
      <c r="I31" s="11">
        <v>2599754</v>
      </c>
      <c r="J31" s="11"/>
      <c r="K31" s="11">
        <v>-2501637</v>
      </c>
      <c r="L31" s="98">
        <f>SUM(D31:K31)</f>
        <v>6901048</v>
      </c>
      <c r="M31" s="11"/>
      <c r="N31" s="11">
        <f t="shared" si="3"/>
        <v>6901048</v>
      </c>
      <c r="O31" s="11"/>
      <c r="P31" s="11"/>
      <c r="Q31" s="11">
        <f t="shared" si="4"/>
        <v>6901048</v>
      </c>
      <c r="S31" s="85">
        <v>0</v>
      </c>
      <c r="T31" s="53">
        <f>+L31-S31</f>
        <v>6901048</v>
      </c>
    </row>
    <row r="32" spans="2:19" ht="12.75">
      <c r="B32" s="14"/>
      <c r="C32" s="15" t="s">
        <v>61</v>
      </c>
      <c r="D32" s="11"/>
      <c r="E32" s="11">
        <v>511193</v>
      </c>
      <c r="F32" s="11">
        <f>120000+14000</f>
        <v>134000</v>
      </c>
      <c r="G32" s="11">
        <v>2672</v>
      </c>
      <c r="H32" s="11"/>
      <c r="I32" s="11"/>
      <c r="J32" s="11"/>
      <c r="K32" s="11"/>
      <c r="L32" s="98">
        <f>SUM(D32:K32)</f>
        <v>647865</v>
      </c>
      <c r="M32" s="11"/>
      <c r="N32" s="11">
        <f t="shared" si="3"/>
        <v>647865</v>
      </c>
      <c r="O32" s="11"/>
      <c r="P32" s="11"/>
      <c r="Q32" s="11">
        <f t="shared" si="4"/>
        <v>647865</v>
      </c>
      <c r="S32" s="85">
        <v>0</v>
      </c>
    </row>
    <row r="33" spans="2:19" ht="12.75">
      <c r="B33" s="14"/>
      <c r="C33" s="15" t="s">
        <v>20</v>
      </c>
      <c r="D33" s="11"/>
      <c r="E33" s="11">
        <v>330160</v>
      </c>
      <c r="F33" s="11">
        <v>300000</v>
      </c>
      <c r="G33" s="11">
        <v>0</v>
      </c>
      <c r="H33" s="11"/>
      <c r="I33" s="11"/>
      <c r="J33" s="11"/>
      <c r="K33" s="11"/>
      <c r="L33" s="98">
        <f t="shared" si="2"/>
        <v>630160</v>
      </c>
      <c r="M33" s="11"/>
      <c r="N33" s="11">
        <f t="shared" si="3"/>
        <v>630160</v>
      </c>
      <c r="O33" s="11"/>
      <c r="P33" s="11"/>
      <c r="Q33" s="11">
        <f t="shared" si="4"/>
        <v>630160</v>
      </c>
      <c r="S33" s="85">
        <v>0</v>
      </c>
    </row>
    <row r="34" spans="2:19" ht="12.75">
      <c r="B34" s="9"/>
      <c r="C34" s="19"/>
      <c r="D34" s="17">
        <f aca="true" t="shared" si="5" ref="D34:K34">SUM(D27:D33)</f>
        <v>5047704</v>
      </c>
      <c r="E34" s="17">
        <f t="shared" si="5"/>
        <v>22125770</v>
      </c>
      <c r="F34" s="17">
        <f t="shared" si="5"/>
        <v>2485280</v>
      </c>
      <c r="G34" s="17">
        <f t="shared" si="5"/>
        <v>383329</v>
      </c>
      <c r="H34" s="17">
        <f t="shared" si="5"/>
        <v>5968195</v>
      </c>
      <c r="I34" s="17">
        <f>SUM(I27:I33)</f>
        <v>3583278</v>
      </c>
      <c r="J34" s="17">
        <f>SUM(J27:J33)</f>
        <v>6120216</v>
      </c>
      <c r="K34" s="17">
        <f t="shared" si="5"/>
        <v>-20308932</v>
      </c>
      <c r="L34" s="101">
        <f t="shared" si="2"/>
        <v>25404840</v>
      </c>
      <c r="M34" s="17"/>
      <c r="N34" s="17">
        <f>SUM(N27:N33)</f>
        <v>25404840</v>
      </c>
      <c r="O34" s="17"/>
      <c r="P34" s="17"/>
      <c r="Q34" s="17">
        <f>SUM(Q27:Q33)</f>
        <v>25404840</v>
      </c>
      <c r="S34" s="18">
        <f>SUM(S27:S33)</f>
        <v>0</v>
      </c>
    </row>
    <row r="35" spans="2:19" ht="12.75">
      <c r="B35" s="9" t="s">
        <v>21</v>
      </c>
      <c r="C35" s="10"/>
      <c r="D35" s="11">
        <f aca="true" t="shared" si="6" ref="D35:K35">+D25-D34</f>
        <v>1792071</v>
      </c>
      <c r="E35" s="11">
        <f t="shared" si="6"/>
        <v>13760489</v>
      </c>
      <c r="F35" s="11">
        <f t="shared" si="6"/>
        <v>-118609</v>
      </c>
      <c r="G35" s="11">
        <f t="shared" si="6"/>
        <v>1299989</v>
      </c>
      <c r="H35" s="11">
        <f t="shared" si="6"/>
        <v>390656</v>
      </c>
      <c r="I35" s="11">
        <f>+I25-I34</f>
        <v>-1948879</v>
      </c>
      <c r="J35" s="11">
        <f>+J25-J34</f>
        <v>-443078</v>
      </c>
      <c r="K35" s="11">
        <f t="shared" si="6"/>
        <v>-9235</v>
      </c>
      <c r="L35" s="98">
        <f>SUM(D35:K35)</f>
        <v>14723404</v>
      </c>
      <c r="M35" s="11">
        <f>SUM(M25)</f>
        <v>6835518</v>
      </c>
      <c r="N35" s="11">
        <f>+N25-N34</f>
        <v>21204922</v>
      </c>
      <c r="O35" s="11">
        <v>8640000</v>
      </c>
      <c r="P35" s="11">
        <f>+P25-P34</f>
        <v>-1768399</v>
      </c>
      <c r="Q35" s="11">
        <f>+Q25-Q34</f>
        <v>28193168</v>
      </c>
      <c r="S35" s="85">
        <f>+S25-S34</f>
        <v>0</v>
      </c>
    </row>
    <row r="36" spans="2:19" ht="12.75" hidden="1">
      <c r="B36" s="9" t="s">
        <v>22</v>
      </c>
      <c r="C36" s="10"/>
      <c r="D36" s="11"/>
      <c r="E36" s="11"/>
      <c r="F36" s="11"/>
      <c r="G36" s="11"/>
      <c r="H36" s="11"/>
      <c r="I36" s="11"/>
      <c r="J36" s="11"/>
      <c r="K36" s="11"/>
      <c r="L36" s="98"/>
      <c r="M36" s="11"/>
      <c r="N36" s="11"/>
      <c r="O36" s="11"/>
      <c r="P36" s="11"/>
      <c r="Q36" s="11"/>
      <c r="S36" s="85"/>
    </row>
    <row r="37" spans="2:19" ht="13.5" thickBot="1"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98"/>
      <c r="M37" s="11"/>
      <c r="N37" s="11"/>
      <c r="O37" s="11"/>
      <c r="P37" s="11"/>
      <c r="Q37" s="11"/>
      <c r="S37" s="85"/>
    </row>
    <row r="38" spans="2:19" ht="13.5" thickBot="1">
      <c r="B38" s="9"/>
      <c r="C38" s="10"/>
      <c r="D38" s="20">
        <f>+D35+D9+D11+D12+D13+D15</f>
        <v>37370719</v>
      </c>
      <c r="E38" s="20">
        <f>+E35+E9+E11+E12+E13+E10</f>
        <v>35480001</v>
      </c>
      <c r="F38" s="20">
        <f aca="true" t="shared" si="7" ref="F38:K38">+F35+F9+F11+F12+F13</f>
        <v>4113307</v>
      </c>
      <c r="G38" s="20">
        <f t="shared" si="7"/>
        <v>1305491</v>
      </c>
      <c r="H38" s="20">
        <f>+H35+H9+H11+H12+H13</f>
        <v>4312786</v>
      </c>
      <c r="I38" s="20">
        <f t="shared" si="7"/>
        <v>3337679</v>
      </c>
      <c r="J38" s="20">
        <f t="shared" si="7"/>
        <v>-443078</v>
      </c>
      <c r="K38" s="84">
        <f t="shared" si="7"/>
        <v>-9235</v>
      </c>
      <c r="L38" s="135">
        <f>SUM(L35+L9+L10+L11+L15+L14+L13)</f>
        <v>50484865</v>
      </c>
      <c r="M38" s="136">
        <f aca="true" t="shared" si="8" ref="M38:S38">SUM(M35+M9+M10+M11+M15+M14+M13)</f>
        <v>6835518</v>
      </c>
      <c r="N38" s="137">
        <f t="shared" si="8"/>
        <v>55919470</v>
      </c>
      <c r="O38" s="137">
        <f t="shared" si="8"/>
        <v>8640000</v>
      </c>
      <c r="P38" s="137">
        <f t="shared" si="8"/>
        <v>-1768399</v>
      </c>
      <c r="Q38" s="137">
        <f t="shared" si="8"/>
        <v>63297619</v>
      </c>
      <c r="R38" s="138">
        <f t="shared" si="8"/>
        <v>0</v>
      </c>
      <c r="S38" s="139">
        <f t="shared" si="8"/>
        <v>0</v>
      </c>
    </row>
    <row r="39" spans="2:19" ht="12.75">
      <c r="B39" s="9"/>
      <c r="C39" s="10"/>
      <c r="D39" s="21"/>
      <c r="E39" s="21"/>
      <c r="F39" s="21"/>
      <c r="G39" s="21"/>
      <c r="H39" s="21"/>
      <c r="I39" s="21"/>
      <c r="J39" s="21"/>
      <c r="K39" s="21"/>
      <c r="L39" s="98"/>
      <c r="M39" s="98"/>
      <c r="N39" s="98"/>
      <c r="O39" s="140"/>
      <c r="P39" s="140"/>
      <c r="Q39" s="98"/>
      <c r="R39" s="107"/>
      <c r="S39" s="141"/>
    </row>
    <row r="40" spans="2:19" ht="12.75">
      <c r="B40" s="9" t="s">
        <v>23</v>
      </c>
      <c r="C40" s="10"/>
      <c r="D40" s="11">
        <v>36000000</v>
      </c>
      <c r="E40" s="11">
        <f>+'[1]ConBS00.13.2'!L35</f>
        <v>5827500</v>
      </c>
      <c r="F40" s="11">
        <v>2700000</v>
      </c>
      <c r="G40" s="11">
        <v>250000</v>
      </c>
      <c r="H40" s="11">
        <v>2490000</v>
      </c>
      <c r="I40" s="11">
        <v>4560000</v>
      </c>
      <c r="J40" s="11">
        <v>10</v>
      </c>
      <c r="K40" s="11"/>
      <c r="L40" s="98">
        <f>+D40</f>
        <v>36000000</v>
      </c>
      <c r="M40" s="142">
        <f>SUM(M35)</f>
        <v>6835518</v>
      </c>
      <c r="N40" s="142">
        <f>SUM(L40:M40)</f>
        <v>42835518</v>
      </c>
      <c r="O40" s="142">
        <v>4000000</v>
      </c>
      <c r="P40" s="142"/>
      <c r="Q40" s="142">
        <f>SUM(N40:O40)</f>
        <v>46835518</v>
      </c>
      <c r="R40" s="107"/>
      <c r="S40" s="141">
        <v>0</v>
      </c>
    </row>
    <row r="41" spans="2:19" ht="12.75">
      <c r="B41" s="9" t="s">
        <v>24</v>
      </c>
      <c r="C41" s="10"/>
      <c r="D41" s="11">
        <v>1380831</v>
      </c>
      <c r="E41" s="11"/>
      <c r="F41" s="11"/>
      <c r="G41" s="11"/>
      <c r="H41" s="11"/>
      <c r="I41" s="11"/>
      <c r="J41" s="11"/>
      <c r="K41" s="11"/>
      <c r="L41" s="98">
        <f>+D41</f>
        <v>1380831</v>
      </c>
      <c r="M41" s="142"/>
      <c r="N41" s="142">
        <f>SUM(L41:M41)</f>
        <v>1380831</v>
      </c>
      <c r="O41" s="142">
        <v>4640000</v>
      </c>
      <c r="P41" s="142">
        <v>-1768399</v>
      </c>
      <c r="Q41" s="142">
        <f>SUM(N41:P41)</f>
        <v>4252432</v>
      </c>
      <c r="R41" s="107"/>
      <c r="S41" s="141">
        <v>0</v>
      </c>
    </row>
    <row r="42" spans="2:19" ht="12.75">
      <c r="B42" s="9" t="s">
        <v>25</v>
      </c>
      <c r="C42" s="10"/>
      <c r="D42" s="11"/>
      <c r="E42" s="11">
        <v>616762</v>
      </c>
      <c r="F42" s="11">
        <v>994587</v>
      </c>
      <c r="G42" s="11"/>
      <c r="H42" s="11"/>
      <c r="I42" s="11"/>
      <c r="J42" s="11"/>
      <c r="K42" s="11"/>
      <c r="L42" s="98"/>
      <c r="M42" s="142"/>
      <c r="N42" s="142">
        <v>440000</v>
      </c>
      <c r="O42" s="142"/>
      <c r="P42" s="142"/>
      <c r="Q42" s="142">
        <v>440000</v>
      </c>
      <c r="R42" s="107"/>
      <c r="S42" s="141">
        <v>0</v>
      </c>
    </row>
    <row r="43" spans="2:19" ht="12.75">
      <c r="B43" s="9" t="s">
        <v>26</v>
      </c>
      <c r="C43" s="10"/>
      <c r="D43" s="11"/>
      <c r="E43" s="11">
        <v>-1157009</v>
      </c>
      <c r="F43" s="11"/>
      <c r="G43" s="11"/>
      <c r="H43" s="11"/>
      <c r="I43" s="11">
        <v>-59486</v>
      </c>
      <c r="J43" s="11"/>
      <c r="K43" s="11">
        <v>-9235</v>
      </c>
      <c r="L43" s="89">
        <v>-139132</v>
      </c>
      <c r="M43" s="142"/>
      <c r="N43" s="142">
        <v>-279390</v>
      </c>
      <c r="O43" s="142"/>
      <c r="P43" s="142"/>
      <c r="Q43" s="142">
        <v>-279390</v>
      </c>
      <c r="R43" s="107"/>
      <c r="S43" s="141">
        <v>0</v>
      </c>
    </row>
    <row r="44" spans="2:19" ht="12.75">
      <c r="B44" s="9" t="s">
        <v>27</v>
      </c>
      <c r="C44" s="10"/>
      <c r="D44" s="11"/>
      <c r="E44" s="11">
        <v>720000</v>
      </c>
      <c r="F44" s="11"/>
      <c r="G44" s="11"/>
      <c r="H44" s="11"/>
      <c r="I44" s="11"/>
      <c r="J44" s="11"/>
      <c r="K44" s="11"/>
      <c r="L44" s="98"/>
      <c r="M44" s="142"/>
      <c r="N44" s="142"/>
      <c r="O44" s="142"/>
      <c r="P44" s="142"/>
      <c r="Q44" s="142"/>
      <c r="R44" s="107"/>
      <c r="S44" s="141">
        <v>0</v>
      </c>
    </row>
    <row r="45" spans="2:19" ht="12.75">
      <c r="B45" s="9" t="s">
        <v>107</v>
      </c>
      <c r="C45" s="10"/>
      <c r="D45" s="11"/>
      <c r="E45" s="11"/>
      <c r="F45" s="11"/>
      <c r="G45" s="11"/>
      <c r="H45" s="11"/>
      <c r="I45" s="11"/>
      <c r="J45" s="11"/>
      <c r="K45" s="11"/>
      <c r="L45" s="89">
        <v>936986</v>
      </c>
      <c r="M45" s="142"/>
      <c r="N45" s="142"/>
      <c r="O45" s="142"/>
      <c r="P45" s="142"/>
      <c r="Q45" s="142"/>
      <c r="R45" s="107"/>
      <c r="S45" s="141"/>
    </row>
    <row r="46" spans="2:19" ht="13.5" thickBot="1">
      <c r="B46" s="9" t="s">
        <v>28</v>
      </c>
      <c r="C46" s="10"/>
      <c r="D46" s="22">
        <v>-10112</v>
      </c>
      <c r="E46" s="22">
        <v>20639316</v>
      </c>
      <c r="F46" s="22">
        <f>369410-300000-14000</f>
        <v>55410</v>
      </c>
      <c r="G46" s="22">
        <v>1055491</v>
      </c>
      <c r="H46" s="22">
        <v>1542053</v>
      </c>
      <c r="I46" s="22">
        <v>-1162835</v>
      </c>
      <c r="J46" s="22">
        <v>-443088</v>
      </c>
      <c r="K46" s="22"/>
      <c r="L46" s="99">
        <f>+PL_QTRSep03!N38</f>
        <v>2828705</v>
      </c>
      <c r="M46" s="143"/>
      <c r="N46" s="143">
        <f>SUM(L46)</f>
        <v>2828705</v>
      </c>
      <c r="O46" s="143"/>
      <c r="P46" s="143"/>
      <c r="Q46" s="143">
        <f>7194180-193955</f>
        <v>7000225</v>
      </c>
      <c r="R46" s="107"/>
      <c r="S46" s="144">
        <v>0</v>
      </c>
    </row>
    <row r="47" spans="2:19" ht="13.5" thickBot="1">
      <c r="B47" s="9"/>
      <c r="C47" s="10"/>
      <c r="D47" s="11">
        <f aca="true" t="shared" si="9" ref="D47:J47">SUM(D40:D46)</f>
        <v>37370719</v>
      </c>
      <c r="E47" s="11">
        <f t="shared" si="9"/>
        <v>26646569</v>
      </c>
      <c r="F47" s="11">
        <f t="shared" si="9"/>
        <v>3749997</v>
      </c>
      <c r="G47" s="11">
        <f t="shared" si="9"/>
        <v>1305491</v>
      </c>
      <c r="H47" s="11">
        <f t="shared" si="9"/>
        <v>4032053</v>
      </c>
      <c r="I47" s="11">
        <f t="shared" si="9"/>
        <v>3337679</v>
      </c>
      <c r="J47" s="11">
        <f t="shared" si="9"/>
        <v>-443078</v>
      </c>
      <c r="K47" s="26">
        <f>SUM(K40:K46)</f>
        <v>-9235</v>
      </c>
      <c r="L47" s="102">
        <f>SUM(L40:L46)</f>
        <v>41007390</v>
      </c>
      <c r="M47" s="145">
        <f aca="true" t="shared" si="10" ref="M47:S47">SUM(M40:M46)</f>
        <v>6835518</v>
      </c>
      <c r="N47" s="98">
        <f t="shared" si="10"/>
        <v>47205664</v>
      </c>
      <c r="O47" s="98">
        <f t="shared" si="10"/>
        <v>8640000</v>
      </c>
      <c r="P47" s="98">
        <f t="shared" si="10"/>
        <v>-1768399</v>
      </c>
      <c r="Q47" s="98">
        <f t="shared" si="10"/>
        <v>58248785</v>
      </c>
      <c r="R47" s="146">
        <f t="shared" si="10"/>
        <v>0</v>
      </c>
      <c r="S47" s="102">
        <f t="shared" si="10"/>
        <v>0</v>
      </c>
    </row>
    <row r="48" spans="2:19" ht="12.75">
      <c r="B48" s="9" t="s">
        <v>29</v>
      </c>
      <c r="C48" s="10"/>
      <c r="D48" s="11"/>
      <c r="E48" s="11">
        <v>1730364</v>
      </c>
      <c r="F48" s="11"/>
      <c r="G48" s="11"/>
      <c r="H48" s="11"/>
      <c r="I48" s="11"/>
      <c r="J48" s="11"/>
      <c r="K48" s="11"/>
      <c r="L48" s="98">
        <f>SUM(D48:K48)</f>
        <v>1730364</v>
      </c>
      <c r="M48" s="142"/>
      <c r="N48" s="142">
        <f>SUM(L48:M48)</f>
        <v>1730364</v>
      </c>
      <c r="O48" s="142"/>
      <c r="P48" s="142"/>
      <c r="Q48" s="142">
        <f>SUM(N48:O48)</f>
        <v>1730364</v>
      </c>
      <c r="R48" s="107"/>
      <c r="S48" s="147">
        <v>0</v>
      </c>
    </row>
    <row r="49" spans="2:19" ht="12.75">
      <c r="B49" s="9" t="s">
        <v>30</v>
      </c>
      <c r="C49" s="10"/>
      <c r="D49" s="23"/>
      <c r="E49" s="23"/>
      <c r="F49" s="23"/>
      <c r="G49" s="23"/>
      <c r="H49" s="23"/>
      <c r="I49" s="23"/>
      <c r="J49" s="23"/>
      <c r="K49" s="23"/>
      <c r="L49" s="100"/>
      <c r="M49" s="148"/>
      <c r="N49" s="148"/>
      <c r="O49" s="148"/>
      <c r="P49" s="148"/>
      <c r="Q49" s="148"/>
      <c r="R49" s="107"/>
      <c r="S49" s="141"/>
    </row>
    <row r="50" spans="2:19" ht="12.75">
      <c r="B50" s="24"/>
      <c r="C50" s="13" t="s">
        <v>31</v>
      </c>
      <c r="D50" s="12"/>
      <c r="E50" s="12">
        <v>4554110</v>
      </c>
      <c r="F50" s="12">
        <v>169355</v>
      </c>
      <c r="G50" s="12"/>
      <c r="H50" s="12"/>
      <c r="I50" s="12"/>
      <c r="J50" s="12"/>
      <c r="K50" s="12"/>
      <c r="L50" s="103">
        <f>SUM(D50:K50)</f>
        <v>4723465</v>
      </c>
      <c r="M50" s="149"/>
      <c r="N50" s="149">
        <f>SUM(L50:M50)</f>
        <v>4723465</v>
      </c>
      <c r="O50" s="149"/>
      <c r="P50" s="149"/>
      <c r="Q50" s="149">
        <f>SUM(N50:O50)</f>
        <v>4723465</v>
      </c>
      <c r="R50" s="107"/>
      <c r="S50" s="150">
        <v>0</v>
      </c>
    </row>
    <row r="51" spans="2:19" ht="12.75">
      <c r="B51" s="24"/>
      <c r="C51" s="13" t="s">
        <v>32</v>
      </c>
      <c r="D51" s="11"/>
      <c r="E51" s="11">
        <v>1014612</v>
      </c>
      <c r="F51" s="11"/>
      <c r="G51" s="11"/>
      <c r="H51" s="11"/>
      <c r="I51" s="11"/>
      <c r="J51" s="11"/>
      <c r="K51" s="11"/>
      <c r="L51" s="98">
        <f>SUM(D51:H51)</f>
        <v>1014612</v>
      </c>
      <c r="M51" s="151"/>
      <c r="N51" s="142">
        <f>SUM(L51:M51)</f>
        <v>1014612</v>
      </c>
      <c r="O51" s="152"/>
      <c r="P51" s="142"/>
      <c r="Q51" s="142">
        <v>1416799</v>
      </c>
      <c r="R51" s="107"/>
      <c r="S51" s="141">
        <v>0</v>
      </c>
    </row>
    <row r="52" spans="2:19" ht="12.75">
      <c r="B52" s="24"/>
      <c r="C52" s="13" t="s">
        <v>33</v>
      </c>
      <c r="D52" s="27"/>
      <c r="E52" s="27">
        <v>1534346</v>
      </c>
      <c r="F52" s="27">
        <v>193955</v>
      </c>
      <c r="G52" s="27"/>
      <c r="H52" s="27">
        <v>280733</v>
      </c>
      <c r="I52" s="27"/>
      <c r="J52" s="27"/>
      <c r="K52" s="27"/>
      <c r="L52" s="100">
        <f>SUM(D52:H52)</f>
        <v>2009034</v>
      </c>
      <c r="M52" s="153"/>
      <c r="N52" s="153">
        <f>SUM(L52:M52)</f>
        <v>2009034</v>
      </c>
      <c r="O52" s="153"/>
      <c r="P52" s="153"/>
      <c r="Q52" s="153">
        <f>SUM(N52:O52)</f>
        <v>2009034</v>
      </c>
      <c r="R52" s="107"/>
      <c r="S52" s="154">
        <v>0</v>
      </c>
    </row>
    <row r="53" spans="2:19" ht="12.75">
      <c r="B53" s="9"/>
      <c r="C53" s="10"/>
      <c r="D53" s="11"/>
      <c r="E53" s="11">
        <f>SUM(E50:E52)</f>
        <v>7103068</v>
      </c>
      <c r="F53" s="11">
        <f>SUM(F50:F52)</f>
        <v>363310</v>
      </c>
      <c r="G53" s="11"/>
      <c r="H53" s="11">
        <f>SUM(H50:H52)</f>
        <v>280733</v>
      </c>
      <c r="I53" s="11">
        <f>SUM(I50:I52)</f>
        <v>0</v>
      </c>
      <c r="J53" s="11">
        <f>SUM(J50:J52)</f>
        <v>0</v>
      </c>
      <c r="K53" s="11">
        <f>SUM(K50:K52)</f>
        <v>0</v>
      </c>
      <c r="L53" s="98">
        <f>SUM(L50:L52)</f>
        <v>7747111</v>
      </c>
      <c r="M53" s="98">
        <f aca="true" t="shared" si="11" ref="M53:S53">SUM(M50:M52)</f>
        <v>0</v>
      </c>
      <c r="N53" s="98">
        <f t="shared" si="11"/>
        <v>7747111</v>
      </c>
      <c r="O53" s="98">
        <f t="shared" si="11"/>
        <v>0</v>
      </c>
      <c r="P53" s="98">
        <f t="shared" si="11"/>
        <v>0</v>
      </c>
      <c r="Q53" s="98">
        <f t="shared" si="11"/>
        <v>8149298</v>
      </c>
      <c r="R53" s="98">
        <f t="shared" si="11"/>
        <v>0</v>
      </c>
      <c r="S53" s="98">
        <f t="shared" si="11"/>
        <v>0</v>
      </c>
    </row>
    <row r="54" spans="2:19" ht="13.5" thickBot="1">
      <c r="B54" s="9"/>
      <c r="C54" s="28"/>
      <c r="D54" s="11"/>
      <c r="E54" s="11"/>
      <c r="F54" s="11"/>
      <c r="G54" s="11"/>
      <c r="H54" s="11"/>
      <c r="I54" s="11"/>
      <c r="J54" s="11"/>
      <c r="K54" s="11"/>
      <c r="L54" s="98"/>
      <c r="M54" s="98"/>
      <c r="N54" s="98"/>
      <c r="O54" s="98"/>
      <c r="P54" s="98"/>
      <c r="Q54" s="98"/>
      <c r="R54" s="98"/>
      <c r="S54" s="98"/>
    </row>
    <row r="55" spans="2:19" ht="13.5" thickBot="1">
      <c r="B55" s="9"/>
      <c r="C55" s="10"/>
      <c r="D55" s="20">
        <f aca="true" t="shared" si="12" ref="D55:K55">+D53+D47+D48</f>
        <v>37370719</v>
      </c>
      <c r="E55" s="20">
        <f>+E53+E47+E48</f>
        <v>35480001</v>
      </c>
      <c r="F55" s="20">
        <f t="shared" si="12"/>
        <v>4113307</v>
      </c>
      <c r="G55" s="20">
        <f t="shared" si="12"/>
        <v>1305491</v>
      </c>
      <c r="H55" s="20">
        <f t="shared" si="12"/>
        <v>4312786</v>
      </c>
      <c r="I55" s="20">
        <f t="shared" si="12"/>
        <v>3337679</v>
      </c>
      <c r="J55" s="20">
        <f t="shared" si="12"/>
        <v>-443078</v>
      </c>
      <c r="K55" s="84">
        <f t="shared" si="12"/>
        <v>-9235</v>
      </c>
      <c r="L55" s="139">
        <f>+L53+L47+L48</f>
        <v>50484865</v>
      </c>
      <c r="M55" s="155">
        <f aca="true" t="shared" si="13" ref="M55:S55">+M53+M47+M48</f>
        <v>6835518</v>
      </c>
      <c r="N55" s="155">
        <f t="shared" si="13"/>
        <v>56683139</v>
      </c>
      <c r="O55" s="155">
        <f t="shared" si="13"/>
        <v>8640000</v>
      </c>
      <c r="P55" s="155">
        <f t="shared" si="13"/>
        <v>-1768399</v>
      </c>
      <c r="Q55" s="155">
        <f t="shared" si="13"/>
        <v>68128447</v>
      </c>
      <c r="R55" s="156">
        <f t="shared" si="13"/>
        <v>0</v>
      </c>
      <c r="S55" s="135">
        <f t="shared" si="13"/>
        <v>0</v>
      </c>
    </row>
    <row r="56" spans="2:19" ht="12.75">
      <c r="B56" s="29" t="s">
        <v>34</v>
      </c>
      <c r="C56" s="30"/>
      <c r="D56" s="31"/>
      <c r="E56" s="32">
        <f>+E58/E40</f>
        <v>4.491720463320464</v>
      </c>
      <c r="F56" s="32">
        <f>+F58/F40</f>
        <v>1.3888877777777777</v>
      </c>
      <c r="G56" s="32">
        <f>+G58/G40</f>
        <v>5.221964</v>
      </c>
      <c r="H56" s="32">
        <f>+H58/H40</f>
        <v>1.5476064257028113</v>
      </c>
      <c r="I56" s="32"/>
      <c r="J56" s="32"/>
      <c r="K56" s="32"/>
      <c r="L56" s="104">
        <f>+L47/L40</f>
        <v>1.1390941666666667</v>
      </c>
      <c r="M56" s="33">
        <f>+M47/M40</f>
        <v>1</v>
      </c>
      <c r="N56" s="33">
        <f>+N47/N40</f>
        <v>1.1020215513677225</v>
      </c>
      <c r="O56" s="33">
        <f>+O47/O40</f>
        <v>2.16</v>
      </c>
      <c r="P56" s="33"/>
      <c r="Q56" s="34">
        <f>+Q47/Q40</f>
        <v>1.2436882837508063</v>
      </c>
      <c r="S56" s="2"/>
    </row>
    <row r="57" spans="2:19" ht="12.75" hidden="1">
      <c r="B57" s="35"/>
      <c r="C57" s="36"/>
      <c r="D57" s="12"/>
      <c r="E57" s="37" t="s">
        <v>9</v>
      </c>
      <c r="F57" s="37" t="s">
        <v>10</v>
      </c>
      <c r="G57" s="37" t="s">
        <v>4</v>
      </c>
      <c r="H57" s="37" t="s">
        <v>11</v>
      </c>
      <c r="I57" s="37"/>
      <c r="J57" s="37"/>
      <c r="K57" s="37"/>
      <c r="L57" s="105" t="s">
        <v>3</v>
      </c>
      <c r="M57" s="38" t="s">
        <v>3</v>
      </c>
      <c r="N57" s="38" t="s">
        <v>3</v>
      </c>
      <c r="O57" s="38" t="s">
        <v>3</v>
      </c>
      <c r="P57" s="38" t="s">
        <v>3</v>
      </c>
      <c r="Q57" s="38" t="s">
        <v>3</v>
      </c>
      <c r="R57" s="38" t="s">
        <v>3</v>
      </c>
      <c r="S57" s="2"/>
    </row>
    <row r="58" spans="2:19" ht="12.75" hidden="1">
      <c r="B58" s="39" t="s">
        <v>35</v>
      </c>
      <c r="C58" s="36"/>
      <c r="D58" s="12"/>
      <c r="E58" s="17">
        <f>+E47-E13</f>
        <v>26175501</v>
      </c>
      <c r="F58" s="17">
        <f>+F47-F13</f>
        <v>3749997</v>
      </c>
      <c r="G58" s="17">
        <f>+G47-G13</f>
        <v>1305491</v>
      </c>
      <c r="H58" s="17">
        <v>3853540</v>
      </c>
      <c r="I58" s="17"/>
      <c r="J58" s="17"/>
      <c r="K58" s="17"/>
      <c r="L58" s="101">
        <f>SUM(E58:H58)</f>
        <v>35084529</v>
      </c>
      <c r="M58" s="18">
        <f aca="true" t="shared" si="14" ref="M58:R58">SUM(F58:I58)</f>
        <v>8909028</v>
      </c>
      <c r="N58" s="18">
        <f t="shared" si="14"/>
        <v>5159031</v>
      </c>
      <c r="O58" s="18">
        <f t="shared" si="14"/>
        <v>3853540</v>
      </c>
      <c r="P58" s="18">
        <f t="shared" si="14"/>
        <v>35084529</v>
      </c>
      <c r="Q58" s="18">
        <f t="shared" si="14"/>
        <v>43993557</v>
      </c>
      <c r="R58" s="18">
        <f t="shared" si="14"/>
        <v>49152588</v>
      </c>
      <c r="S58" s="2"/>
    </row>
    <row r="59" spans="2:19" ht="12.75" hidden="1">
      <c r="B59" s="40" t="s">
        <v>36</v>
      </c>
      <c r="C59" s="28"/>
      <c r="D59" s="41">
        <v>1</v>
      </c>
      <c r="E59" s="41">
        <v>1.08</v>
      </c>
      <c r="F59" s="41">
        <f>+E59</f>
        <v>1.08</v>
      </c>
      <c r="G59" s="41">
        <f>+F59</f>
        <v>1.08</v>
      </c>
      <c r="H59" s="41">
        <f>+G59</f>
        <v>1.08</v>
      </c>
      <c r="I59" s="41"/>
      <c r="J59" s="41"/>
      <c r="K59" s="41"/>
      <c r="L59" s="106">
        <f>+G59</f>
        <v>1.08</v>
      </c>
      <c r="M59" s="41">
        <f aca="true" t="shared" si="15" ref="M59:R59">+H59</f>
        <v>1.08</v>
      </c>
      <c r="N59" s="41">
        <f t="shared" si="15"/>
        <v>0</v>
      </c>
      <c r="O59" s="41">
        <f t="shared" si="15"/>
        <v>0</v>
      </c>
      <c r="P59" s="41">
        <f t="shared" si="15"/>
        <v>0</v>
      </c>
      <c r="Q59" s="41">
        <f t="shared" si="15"/>
        <v>1.08</v>
      </c>
      <c r="R59" s="41">
        <f t="shared" si="15"/>
        <v>1.08</v>
      </c>
      <c r="S59" s="2"/>
    </row>
    <row r="60" spans="2:19" ht="12.75" hidden="1">
      <c r="B60" s="29" t="s">
        <v>37</v>
      </c>
      <c r="C60" s="30"/>
      <c r="D60" s="27"/>
      <c r="E60" s="25">
        <f>+E58/E$59</f>
        <v>24236575</v>
      </c>
      <c r="F60" s="25">
        <f>+F58/F$59</f>
        <v>3472219.444444444</v>
      </c>
      <c r="G60" s="25">
        <f>+G58/G$59</f>
        <v>1208787.962962963</v>
      </c>
      <c r="H60" s="25">
        <f>+H58/H$59</f>
        <v>3568092.5925925924</v>
      </c>
      <c r="I60" s="25"/>
      <c r="J60" s="25"/>
      <c r="K60" s="25"/>
      <c r="L60" s="103">
        <f>SUM(E60:H60)</f>
        <v>32485675</v>
      </c>
      <c r="M60" s="25">
        <f aca="true" t="shared" si="16" ref="M60:R61">SUM(F60:I60)</f>
        <v>8249099.999999999</v>
      </c>
      <c r="N60" s="25">
        <f t="shared" si="16"/>
        <v>4776880.555555555</v>
      </c>
      <c r="O60" s="25">
        <f t="shared" si="16"/>
        <v>3568092.5925925924</v>
      </c>
      <c r="P60" s="25">
        <f t="shared" si="16"/>
        <v>32485675</v>
      </c>
      <c r="Q60" s="25">
        <f t="shared" si="16"/>
        <v>40734775</v>
      </c>
      <c r="R60" s="25">
        <f t="shared" si="16"/>
        <v>45511655.55555555</v>
      </c>
      <c r="S60" s="2"/>
    </row>
    <row r="61" spans="2:19" ht="12.75" hidden="1">
      <c r="B61" s="40" t="s">
        <v>38</v>
      </c>
      <c r="C61" s="28"/>
      <c r="D61" s="17">
        <v>2</v>
      </c>
      <c r="E61" s="17">
        <v>21408508</v>
      </c>
      <c r="F61" s="17">
        <v>3050482</v>
      </c>
      <c r="G61" s="17">
        <v>1137396</v>
      </c>
      <c r="H61" s="17">
        <v>3568093</v>
      </c>
      <c r="I61" s="17"/>
      <c r="J61" s="17"/>
      <c r="K61" s="17"/>
      <c r="L61" s="101">
        <f>SUM(E61:H61)</f>
        <v>29164479</v>
      </c>
      <c r="M61" s="18">
        <f t="shared" si="16"/>
        <v>7755971</v>
      </c>
      <c r="N61" s="18">
        <f t="shared" si="16"/>
        <v>4705489</v>
      </c>
      <c r="O61" s="18">
        <f t="shared" si="16"/>
        <v>3568093</v>
      </c>
      <c r="P61" s="18">
        <f t="shared" si="16"/>
        <v>29164479</v>
      </c>
      <c r="Q61" s="18">
        <f t="shared" si="16"/>
        <v>36920450</v>
      </c>
      <c r="R61" s="18">
        <f t="shared" si="16"/>
        <v>41625939</v>
      </c>
      <c r="S61" s="2"/>
    </row>
    <row r="62" spans="2:19" ht="12.75" hidden="1">
      <c r="B62" s="29" t="s">
        <v>24</v>
      </c>
      <c r="C62" s="30"/>
      <c r="D62" s="27"/>
      <c r="E62" s="17">
        <f>+E61*($D$59-1)</f>
        <v>0</v>
      </c>
      <c r="F62" s="17">
        <f>+F61*($D$59-1)</f>
        <v>0</v>
      </c>
      <c r="G62" s="17">
        <f>+G61*($D$59-1)</f>
        <v>0</v>
      </c>
      <c r="H62" s="17">
        <f>+H61*($D$59-1)</f>
        <v>0</v>
      </c>
      <c r="I62" s="17"/>
      <c r="J62" s="17"/>
      <c r="K62" s="17"/>
      <c r="L62" s="101">
        <f>+L61*(L59-1)</f>
        <v>2333158.320000002</v>
      </c>
      <c r="M62" s="18">
        <f aca="true" t="shared" si="17" ref="M62:R62">+M61*(M59-1)</f>
        <v>620477.6800000005</v>
      </c>
      <c r="N62" s="18">
        <f t="shared" si="17"/>
        <v>-4705489</v>
      </c>
      <c r="O62" s="18">
        <f t="shared" si="17"/>
        <v>-3568093</v>
      </c>
      <c r="P62" s="18">
        <f t="shared" si="17"/>
        <v>-29164479</v>
      </c>
      <c r="Q62" s="18">
        <f t="shared" si="17"/>
        <v>2953636.000000003</v>
      </c>
      <c r="R62" s="18">
        <f t="shared" si="17"/>
        <v>3330075.120000003</v>
      </c>
      <c r="S62" s="2"/>
    </row>
    <row r="63" ht="12.75" hidden="1">
      <c r="S63" s="2"/>
    </row>
    <row r="64" spans="12:19" ht="12.75" hidden="1">
      <c r="L64" s="107">
        <f>+L38-L55</f>
        <v>0</v>
      </c>
      <c r="N64" s="42">
        <f>+N38-N55</f>
        <v>-763669</v>
      </c>
      <c r="Q64" s="42">
        <f>+Q38-Q55</f>
        <v>-4830828</v>
      </c>
      <c r="S64" s="2"/>
    </row>
    <row r="65" ht="12.75">
      <c r="S65" s="2"/>
    </row>
    <row r="67" ht="12.75">
      <c r="B67" t="s">
        <v>167</v>
      </c>
    </row>
    <row r="69" ht="12.75">
      <c r="B69" t="s">
        <v>168</v>
      </c>
    </row>
    <row r="70" ht="12.75">
      <c r="B70" t="s">
        <v>171</v>
      </c>
    </row>
    <row r="71" ht="12.75">
      <c r="B71" t="s">
        <v>170</v>
      </c>
    </row>
    <row r="73" ht="12.75">
      <c r="B73" t="s">
        <v>172</v>
      </c>
    </row>
    <row r="74" ht="12.75">
      <c r="B74" t="s">
        <v>169</v>
      </c>
    </row>
  </sheetData>
  <printOptions gridLines="1" horizontalCentered="1"/>
  <pageMargins left="0.25" right="0.25" top="0.25" bottom="0.25" header="0.5" footer="0.5"/>
  <pageSetup fitToHeight="1" fitToWidth="1" horizontalDpi="180" verticalDpi="180" orientation="portrait" paperSize="9" r:id="rId4"/>
  <headerFooter alignWithMargins="0">
    <oddFooter>&amp;L&amp;D&amp;T&amp;R&amp;F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E16" sqref="E16"/>
    </sheetView>
  </sheetViews>
  <sheetFormatPr defaultColWidth="9.140625" defaultRowHeight="12.75"/>
  <cols>
    <col min="1" max="1" width="1.7109375" style="44" customWidth="1"/>
    <col min="2" max="2" width="2.7109375" style="44" customWidth="1"/>
    <col min="3" max="4" width="13.7109375" style="44" customWidth="1"/>
    <col min="5" max="5" width="11.7109375" style="44" customWidth="1"/>
    <col min="6" max="6" width="1.7109375" style="44" customWidth="1"/>
    <col min="7" max="7" width="11.7109375" style="44" customWidth="1"/>
    <col min="8" max="8" width="1.7109375" style="44" customWidth="1"/>
    <col min="9" max="9" width="11.7109375" style="44" customWidth="1"/>
    <col min="10" max="10" width="1.7109375" style="44" customWidth="1"/>
    <col min="11" max="11" width="11.7109375" style="44" customWidth="1"/>
    <col min="12" max="12" width="1.7109375" style="63" customWidth="1"/>
    <col min="13" max="13" width="11.7109375" style="44" customWidth="1"/>
    <col min="14" max="14" width="1.7109375" style="44" customWidth="1"/>
    <col min="15" max="15" width="11.7109375" style="44" customWidth="1"/>
    <col min="16" max="16" width="1.7109375" style="44" customWidth="1"/>
    <col min="17" max="17" width="0.2890625" style="61" customWidth="1"/>
    <col min="18" max="18" width="15.421875" style="44" bestFit="1" customWidth="1"/>
    <col min="19" max="16384" width="9.140625" style="44" customWidth="1"/>
  </cols>
  <sheetData>
    <row r="1" spans="1:18" s="55" customFormat="1" ht="12.75">
      <c r="A1" s="55">
        <v>1</v>
      </c>
      <c r="B1" s="56" t="s">
        <v>111</v>
      </c>
      <c r="C1" s="56" t="s">
        <v>112</v>
      </c>
      <c r="D1" s="56" t="s">
        <v>113</v>
      </c>
      <c r="E1" s="56">
        <v>11</v>
      </c>
      <c r="F1" s="56">
        <v>2</v>
      </c>
      <c r="G1" s="56">
        <v>11</v>
      </c>
      <c r="H1" s="56"/>
      <c r="I1" s="56"/>
      <c r="J1" s="56"/>
      <c r="K1" s="56"/>
      <c r="L1" s="56">
        <v>2</v>
      </c>
      <c r="M1" s="56">
        <v>11</v>
      </c>
      <c r="N1" s="56">
        <v>2</v>
      </c>
      <c r="O1" s="56">
        <v>11</v>
      </c>
      <c r="P1" s="56" t="s">
        <v>114</v>
      </c>
      <c r="Q1" s="57"/>
      <c r="R1" s="58" t="e">
        <f>+B1+C1+D1+#REF!+G1+L1+M1+N1+O1+E1</f>
        <v>#REF!</v>
      </c>
    </row>
    <row r="2" spans="2:15" ht="19.5" customHeight="1">
      <c r="B2" s="59" t="s">
        <v>6</v>
      </c>
      <c r="L2" s="44"/>
      <c r="O2" s="60"/>
    </row>
    <row r="3" spans="2:12" ht="19.5" customHeight="1">
      <c r="B3" s="59" t="s">
        <v>144</v>
      </c>
      <c r="C3" s="62"/>
      <c r="L3" s="44"/>
    </row>
    <row r="4" ht="15" customHeight="1">
      <c r="L4" s="44"/>
    </row>
    <row r="5" spans="2:12" ht="15" customHeight="1">
      <c r="B5" s="1"/>
      <c r="L5" s="44"/>
    </row>
    <row r="6" spans="5:13" ht="15" customHeight="1">
      <c r="E6" s="192" t="s">
        <v>137</v>
      </c>
      <c r="F6" s="192"/>
      <c r="G6" s="192"/>
      <c r="H6" s="192"/>
      <c r="I6" s="192"/>
      <c r="J6" s="192"/>
      <c r="K6" s="192"/>
      <c r="L6" s="44"/>
      <c r="M6" s="81" t="s">
        <v>135</v>
      </c>
    </row>
    <row r="7" spans="9:12" ht="15" customHeight="1">
      <c r="I7" s="63" t="s">
        <v>124</v>
      </c>
      <c r="L7" s="44"/>
    </row>
    <row r="8" spans="9:12" ht="15" customHeight="1">
      <c r="I8" s="63" t="s">
        <v>125</v>
      </c>
      <c r="L8" s="44"/>
    </row>
    <row r="9" spans="2:16" ht="15" customHeight="1">
      <c r="B9" s="44" t="s">
        <v>116</v>
      </c>
      <c r="C9" s="44" t="s">
        <v>116</v>
      </c>
      <c r="E9" s="64" t="s">
        <v>115</v>
      </c>
      <c r="F9" s="64"/>
      <c r="G9" s="64" t="s">
        <v>115</v>
      </c>
      <c r="H9" s="63"/>
      <c r="I9" s="63" t="s">
        <v>126</v>
      </c>
      <c r="J9" s="63"/>
      <c r="K9" s="63" t="s">
        <v>121</v>
      </c>
      <c r="L9" s="64"/>
      <c r="M9" s="64" t="s">
        <v>117</v>
      </c>
      <c r="N9" s="64"/>
      <c r="O9" s="64"/>
      <c r="P9" s="65"/>
    </row>
    <row r="10" spans="5:16" ht="15" customHeight="1">
      <c r="E10" s="64" t="s">
        <v>118</v>
      </c>
      <c r="F10" s="64"/>
      <c r="G10" s="64" t="s">
        <v>119</v>
      </c>
      <c r="H10" s="63"/>
      <c r="I10" s="63" t="s">
        <v>120</v>
      </c>
      <c r="J10" s="63"/>
      <c r="K10" s="63" t="s">
        <v>122</v>
      </c>
      <c r="L10" s="64"/>
      <c r="M10" s="66" t="str">
        <f>+IF(AND(M14&gt;=0,M26&gt;=0),"profits",IF(AND(M14&lt;=0,M26&lt;=0),"losses","profits/(losses)"))</f>
        <v>profits/(losses)</v>
      </c>
      <c r="N10" s="64"/>
      <c r="O10" s="64" t="s">
        <v>3</v>
      </c>
      <c r="P10" s="65"/>
    </row>
    <row r="11" spans="5:16" ht="15" customHeight="1">
      <c r="E11" s="64" t="s">
        <v>40</v>
      </c>
      <c r="F11" s="64"/>
      <c r="G11" s="64" t="s">
        <v>40</v>
      </c>
      <c r="H11" s="64"/>
      <c r="I11" s="64" t="s">
        <v>40</v>
      </c>
      <c r="J11" s="64"/>
      <c r="K11" s="64" t="s">
        <v>40</v>
      </c>
      <c r="L11" s="64"/>
      <c r="M11" s="64" t="s">
        <v>40</v>
      </c>
      <c r="N11" s="64"/>
      <c r="O11" s="64" t="s">
        <v>40</v>
      </c>
      <c r="P11" s="65"/>
    </row>
    <row r="12" spans="5:15" ht="15" customHeight="1">
      <c r="E12" s="67"/>
      <c r="F12" s="67"/>
      <c r="G12" s="67"/>
      <c r="H12" s="67"/>
      <c r="I12" s="67"/>
      <c r="J12" s="67"/>
      <c r="K12" s="67"/>
      <c r="L12" s="67"/>
      <c r="M12" s="68"/>
      <c r="N12" s="68"/>
      <c r="O12" s="67"/>
    </row>
    <row r="13" spans="5:15" ht="15" customHeight="1"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6" ht="19.5" customHeight="1">
      <c r="B14" s="44" t="s">
        <v>131</v>
      </c>
      <c r="E14" s="69">
        <v>29164482</v>
      </c>
      <c r="F14" s="70"/>
      <c r="G14" s="69">
        <v>2333158</v>
      </c>
      <c r="H14" s="69"/>
      <c r="I14" s="69">
        <v>0</v>
      </c>
      <c r="J14" s="69"/>
      <c r="K14" s="69">
        <v>0</v>
      </c>
      <c r="L14" s="69"/>
      <c r="M14" s="69">
        <v>-11674</v>
      </c>
      <c r="N14" s="69"/>
      <c r="O14" s="69">
        <f>SUM(E14:N14)</f>
        <v>31485966</v>
      </c>
      <c r="P14" s="67"/>
    </row>
    <row r="15" spans="5:18" ht="15" customHeight="1">
      <c r="E15" s="69"/>
      <c r="F15" s="70"/>
      <c r="G15" s="69"/>
      <c r="H15" s="69"/>
      <c r="I15" s="69"/>
      <c r="J15" s="69"/>
      <c r="K15" s="69"/>
      <c r="L15" s="69"/>
      <c r="M15" s="69"/>
      <c r="N15" s="69"/>
      <c r="O15" s="69"/>
      <c r="P15" s="67"/>
      <c r="R15" s="72"/>
    </row>
    <row r="16" spans="2:18" ht="15" customHeight="1">
      <c r="B16" s="44" t="s">
        <v>132</v>
      </c>
      <c r="E16" s="69">
        <v>6835518</v>
      </c>
      <c r="F16" s="70"/>
      <c r="G16" s="69">
        <v>0</v>
      </c>
      <c r="H16" s="69"/>
      <c r="I16" s="69">
        <v>0</v>
      </c>
      <c r="J16" s="69"/>
      <c r="K16" s="69">
        <v>0</v>
      </c>
      <c r="L16" s="69"/>
      <c r="M16" s="69">
        <v>0</v>
      </c>
      <c r="N16" s="69"/>
      <c r="O16" s="69">
        <f>SUM(E16:N16)</f>
        <v>6835518</v>
      </c>
      <c r="P16" s="67"/>
      <c r="R16" s="72"/>
    </row>
    <row r="17" spans="5:18" ht="15" customHeight="1">
      <c r="E17" s="69"/>
      <c r="F17" s="70"/>
      <c r="G17" s="69"/>
      <c r="H17" s="69"/>
      <c r="I17" s="69"/>
      <c r="J17" s="69"/>
      <c r="K17" s="69"/>
      <c r="L17" s="69"/>
      <c r="M17" s="69"/>
      <c r="N17" s="69"/>
      <c r="O17" s="69"/>
      <c r="P17" s="67"/>
      <c r="R17" s="72"/>
    </row>
    <row r="18" spans="2:18" ht="15" customHeight="1">
      <c r="B18" s="44" t="s">
        <v>133</v>
      </c>
      <c r="E18" s="69">
        <v>0</v>
      </c>
      <c r="F18" s="70"/>
      <c r="G18" s="69">
        <v>-952327</v>
      </c>
      <c r="H18" s="69"/>
      <c r="I18" s="69">
        <v>0</v>
      </c>
      <c r="J18" s="69"/>
      <c r="K18" s="69">
        <v>0</v>
      </c>
      <c r="L18" s="69"/>
      <c r="M18" s="69">
        <v>0</v>
      </c>
      <c r="N18" s="69"/>
      <c r="O18" s="69">
        <f>SUM(E18:N18)</f>
        <v>-952327</v>
      </c>
      <c r="P18" s="67"/>
      <c r="R18" s="72"/>
    </row>
    <row r="19" spans="5:18" ht="15" customHeight="1">
      <c r="E19" s="69"/>
      <c r="F19" s="70"/>
      <c r="G19" s="69"/>
      <c r="H19" s="69"/>
      <c r="I19" s="69"/>
      <c r="J19" s="69"/>
      <c r="K19" s="69"/>
      <c r="L19" s="69"/>
      <c r="M19" s="69"/>
      <c r="N19" s="69"/>
      <c r="O19" s="69"/>
      <c r="P19" s="67"/>
      <c r="R19" s="72"/>
    </row>
    <row r="20" spans="2:18" ht="15" customHeight="1">
      <c r="B20" s="44" t="s">
        <v>134</v>
      </c>
      <c r="E20" s="69">
        <v>0</v>
      </c>
      <c r="F20" s="70"/>
      <c r="G20" s="69">
        <v>0</v>
      </c>
      <c r="H20" s="69"/>
      <c r="I20" s="69">
        <v>0</v>
      </c>
      <c r="J20" s="69"/>
      <c r="K20" s="69">
        <f>+BS_Sep03!L45</f>
        <v>936986</v>
      </c>
      <c r="L20" s="69"/>
      <c r="M20" s="69">
        <v>0</v>
      </c>
      <c r="N20" s="69"/>
      <c r="O20" s="69">
        <f>SUM(E20:N20)</f>
        <v>936986</v>
      </c>
      <c r="P20" s="67"/>
      <c r="R20" s="72"/>
    </row>
    <row r="21" spans="2:18" ht="15" customHeight="1">
      <c r="B21" s="44" t="s">
        <v>145</v>
      </c>
      <c r="E21" s="69"/>
      <c r="F21" s="70"/>
      <c r="G21" s="69"/>
      <c r="H21" s="69"/>
      <c r="I21" s="69"/>
      <c r="J21" s="69"/>
      <c r="K21" s="69"/>
      <c r="L21" s="69"/>
      <c r="M21" s="69"/>
      <c r="N21" s="69"/>
      <c r="O21" s="69"/>
      <c r="P21" s="67"/>
      <c r="R21" s="72"/>
    </row>
    <row r="22" spans="2:18" ht="15" customHeight="1">
      <c r="B22" s="44" t="s">
        <v>146</v>
      </c>
      <c r="E22" s="69">
        <v>0</v>
      </c>
      <c r="F22" s="70"/>
      <c r="G22" s="69">
        <v>0</v>
      </c>
      <c r="H22" s="69"/>
      <c r="I22" s="69">
        <v>-139132</v>
      </c>
      <c r="J22" s="69"/>
      <c r="K22" s="69">
        <v>0</v>
      </c>
      <c r="L22" s="69"/>
      <c r="M22" s="69"/>
      <c r="N22" s="69"/>
      <c r="O22" s="69">
        <f>SUM(E22:N22)</f>
        <v>-139132</v>
      </c>
      <c r="P22" s="67"/>
      <c r="R22" s="72"/>
    </row>
    <row r="23" spans="5:18" ht="15" customHeight="1">
      <c r="E23" s="69"/>
      <c r="F23" s="70"/>
      <c r="G23" s="69"/>
      <c r="H23" s="69"/>
      <c r="I23" s="69"/>
      <c r="J23" s="69"/>
      <c r="K23" s="69"/>
      <c r="L23" s="69"/>
      <c r="M23" s="69"/>
      <c r="N23" s="69"/>
      <c r="O23" s="69"/>
      <c r="P23" s="67"/>
      <c r="R23" s="72"/>
    </row>
    <row r="24" spans="2:16" ht="15" customHeight="1">
      <c r="B24" s="71" t="s">
        <v>136</v>
      </c>
      <c r="E24" s="69">
        <v>0</v>
      </c>
      <c r="F24" s="73"/>
      <c r="G24" s="69">
        <v>0</v>
      </c>
      <c r="H24" s="69"/>
      <c r="I24" s="69">
        <v>0</v>
      </c>
      <c r="J24" s="69"/>
      <c r="K24" s="69">
        <v>0</v>
      </c>
      <c r="L24" s="69"/>
      <c r="M24" s="69">
        <f>+PL_QTRSep03!N32</f>
        <v>2840379</v>
      </c>
      <c r="N24" s="69"/>
      <c r="O24" s="69">
        <f>SUM(E24:N24)</f>
        <v>2840379</v>
      </c>
      <c r="P24" s="67"/>
    </row>
    <row r="25" spans="5:16" ht="9.75" customHeight="1">
      <c r="E25" s="69"/>
      <c r="F25" s="73"/>
      <c r="G25" s="69"/>
      <c r="H25" s="69"/>
      <c r="I25" s="69"/>
      <c r="J25" s="69"/>
      <c r="K25" s="69"/>
      <c r="L25" s="69"/>
      <c r="M25" s="69"/>
      <c r="N25" s="69"/>
      <c r="O25" s="69"/>
      <c r="P25" s="67"/>
    </row>
    <row r="26" spans="2:16" ht="19.5" customHeight="1" thickBot="1">
      <c r="B26" s="44" t="s">
        <v>123</v>
      </c>
      <c r="E26" s="74">
        <f>SUM(E14:E25)</f>
        <v>36000000</v>
      </c>
      <c r="F26" s="73"/>
      <c r="G26" s="74">
        <f>SUM(G14:G25)</f>
        <v>1380831</v>
      </c>
      <c r="H26" s="69"/>
      <c r="I26" s="74">
        <f>SUM(I14:I25)</f>
        <v>-139132</v>
      </c>
      <c r="J26" s="69"/>
      <c r="K26" s="74">
        <f>SUM(K14:K25)</f>
        <v>936986</v>
      </c>
      <c r="L26" s="69"/>
      <c r="M26" s="74">
        <f>SUM(M14:M25)</f>
        <v>2828705</v>
      </c>
      <c r="N26" s="69"/>
      <c r="O26" s="74">
        <f>SUM(O14:O25)</f>
        <v>41007390</v>
      </c>
      <c r="P26" s="67"/>
    </row>
    <row r="27" spans="5:15" ht="15" customHeight="1" thickTop="1">
      <c r="E27" s="80"/>
      <c r="F27" s="73"/>
      <c r="G27" s="73"/>
      <c r="H27" s="73"/>
      <c r="I27" s="73"/>
      <c r="J27" s="73"/>
      <c r="K27" s="73"/>
      <c r="L27" s="73"/>
      <c r="M27" s="75"/>
      <c r="N27" s="73"/>
      <c r="O27" s="67"/>
    </row>
    <row r="28" spans="5:15" ht="15" customHeight="1">
      <c r="E28" s="80"/>
      <c r="F28" s="73"/>
      <c r="G28" s="73"/>
      <c r="H28" s="73"/>
      <c r="I28" s="73"/>
      <c r="J28" s="73"/>
      <c r="K28" s="73"/>
      <c r="L28" s="73"/>
      <c r="M28" s="75"/>
      <c r="N28" s="73"/>
      <c r="O28" s="67"/>
    </row>
    <row r="29" spans="2:15" ht="15" customHeight="1">
      <c r="B29" s="44" t="s">
        <v>127</v>
      </c>
      <c r="E29" s="80">
        <f>+BS_Sep03!L40</f>
        <v>36000000</v>
      </c>
      <c r="F29" s="73"/>
      <c r="G29" s="73">
        <f>+BS_Sep03!L41</f>
        <v>1380831</v>
      </c>
      <c r="H29" s="73"/>
      <c r="I29" s="73">
        <f>+BS_Sep03!L43</f>
        <v>-139132</v>
      </c>
      <c r="J29" s="73"/>
      <c r="K29" s="73">
        <f>+BS_Sep03!L45</f>
        <v>936986</v>
      </c>
      <c r="L29" s="73"/>
      <c r="M29" s="75">
        <f>+BS_Sep03!L46</f>
        <v>2828705</v>
      </c>
      <c r="N29" s="73"/>
      <c r="O29" s="77">
        <f>+BS_Sep03!L47</f>
        <v>41007390</v>
      </c>
    </row>
    <row r="30" spans="2:15" ht="15" customHeight="1">
      <c r="B30" s="44" t="s">
        <v>128</v>
      </c>
      <c r="E30" s="79">
        <f>+E29-E26</f>
        <v>0</v>
      </c>
      <c r="F30" s="76"/>
      <c r="G30" s="78">
        <f>+G29-G26</f>
        <v>0</v>
      </c>
      <c r="H30" s="76"/>
      <c r="I30" s="78">
        <f>+I29-I26</f>
        <v>0</v>
      </c>
      <c r="J30" s="76"/>
      <c r="K30" s="78">
        <f>+K29-K26</f>
        <v>0</v>
      </c>
      <c r="L30" s="73"/>
      <c r="M30" s="79">
        <f>+M29-M26</f>
        <v>0</v>
      </c>
      <c r="N30" s="73"/>
      <c r="O30" s="82">
        <f>+O29-O26</f>
        <v>0</v>
      </c>
    </row>
    <row r="31" spans="5:15" ht="15" customHeight="1">
      <c r="E31" s="76"/>
      <c r="F31" s="76"/>
      <c r="G31" s="76"/>
      <c r="H31" s="76"/>
      <c r="I31" s="76"/>
      <c r="J31" s="76"/>
      <c r="K31" s="76"/>
      <c r="L31" s="73"/>
      <c r="M31" s="75"/>
      <c r="N31" s="73"/>
      <c r="O31" s="67"/>
    </row>
    <row r="32" spans="5:15" ht="15" customHeight="1">
      <c r="E32" s="76"/>
      <c r="F32" s="76"/>
      <c r="G32" s="76"/>
      <c r="H32" s="76"/>
      <c r="I32" s="76"/>
      <c r="J32" s="76"/>
      <c r="K32" s="76"/>
      <c r="L32" s="73"/>
      <c r="M32" s="75"/>
      <c r="N32" s="73"/>
      <c r="O32" s="67"/>
    </row>
    <row r="33" spans="5:15" ht="15" customHeight="1">
      <c r="E33" s="76"/>
      <c r="F33" s="76"/>
      <c r="G33" s="76"/>
      <c r="H33" s="76"/>
      <c r="I33" s="76"/>
      <c r="J33" s="76"/>
      <c r="K33" s="76"/>
      <c r="L33" s="73"/>
      <c r="M33" s="75"/>
      <c r="N33" s="73"/>
      <c r="O33" s="67"/>
    </row>
    <row r="34" spans="5:15" ht="15" customHeight="1">
      <c r="E34" s="76"/>
      <c r="F34" s="76"/>
      <c r="G34" s="76"/>
      <c r="H34" s="76"/>
      <c r="I34" s="76"/>
      <c r="J34" s="76"/>
      <c r="K34" s="76"/>
      <c r="L34" s="73"/>
      <c r="M34" s="75"/>
      <c r="N34" s="73"/>
      <c r="O34" s="67"/>
    </row>
    <row r="35" spans="5:15" ht="15" customHeight="1">
      <c r="E35" s="76"/>
      <c r="F35" s="76"/>
      <c r="G35" s="76"/>
      <c r="H35" s="76"/>
      <c r="I35" s="76"/>
      <c r="J35" s="76"/>
      <c r="K35" s="76"/>
      <c r="L35" s="73"/>
      <c r="M35" s="75"/>
      <c r="N35" s="73"/>
      <c r="O35" s="67"/>
    </row>
    <row r="36" spans="5:15" ht="15" customHeight="1">
      <c r="E36" s="76"/>
      <c r="F36" s="76"/>
      <c r="G36" s="76"/>
      <c r="H36" s="76"/>
      <c r="I36" s="76"/>
      <c r="J36" s="76"/>
      <c r="K36" s="76"/>
      <c r="L36" s="73"/>
      <c r="M36" s="75"/>
      <c r="N36" s="73"/>
      <c r="O36" s="67"/>
    </row>
    <row r="37" ht="15" customHeight="1"/>
  </sheetData>
  <mergeCells count="1">
    <mergeCell ref="E6:K6"/>
  </mergeCells>
  <printOptions/>
  <pageMargins left="1.25" right="0.5" top="0.75" bottom="0.7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75" zoomScaleNormal="75" workbookViewId="0" topLeftCell="A1">
      <selection activeCell="N53" sqref="N53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60.7109375" style="0" customWidth="1"/>
    <col min="4" max="4" width="15.7109375" style="42" hidden="1" customWidth="1"/>
    <col min="5" max="5" width="16.140625" style="42" hidden="1" customWidth="1"/>
    <col min="6" max="6" width="12.28125" style="42" hidden="1" customWidth="1"/>
    <col min="7" max="11" width="15.421875" style="42" hidden="1" customWidth="1"/>
    <col min="12" max="12" width="16.28125" style="8" hidden="1" customWidth="1"/>
    <col min="13" max="13" width="4.00390625" style="0" hidden="1" customWidth="1"/>
    <col min="14" max="14" width="23.28125" style="87" customWidth="1"/>
    <col min="15" max="15" width="1.7109375" style="0" customWidth="1"/>
  </cols>
  <sheetData>
    <row r="1" spans="4:12" ht="12.75">
      <c r="D1" s="6"/>
      <c r="E1" s="6"/>
      <c r="F1" s="6"/>
      <c r="G1" s="6"/>
      <c r="H1" s="6"/>
      <c r="I1" s="6"/>
      <c r="J1" s="6"/>
      <c r="K1" s="6"/>
      <c r="L1" s="7"/>
    </row>
    <row r="2" spans="1:12" ht="15.75">
      <c r="A2" s="28"/>
      <c r="B2" s="93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50"/>
    </row>
    <row r="3" spans="1:12" ht="15.75">
      <c r="A3" s="28"/>
      <c r="B3" s="93" t="s">
        <v>163</v>
      </c>
      <c r="C3" s="10"/>
      <c r="D3" s="10"/>
      <c r="E3" s="10"/>
      <c r="F3" s="10"/>
      <c r="G3" s="10"/>
      <c r="H3" s="10"/>
      <c r="I3" s="10"/>
      <c r="J3" s="10"/>
      <c r="K3" s="10"/>
      <c r="L3" s="50"/>
    </row>
    <row r="4" spans="1:12" ht="15.75">
      <c r="A4" s="28"/>
      <c r="B4" s="93" t="s">
        <v>162</v>
      </c>
      <c r="C4" s="10"/>
      <c r="D4" s="10"/>
      <c r="E4" s="10"/>
      <c r="F4" s="10"/>
      <c r="G4" s="10"/>
      <c r="H4" s="10"/>
      <c r="I4" s="10"/>
      <c r="J4" s="10"/>
      <c r="K4" s="10"/>
      <c r="L4" s="50"/>
    </row>
    <row r="5" spans="1:12" ht="13.5" thickBot="1">
      <c r="A5" s="28"/>
      <c r="B5" s="48"/>
      <c r="C5" s="10"/>
      <c r="D5" s="10"/>
      <c r="E5" s="10"/>
      <c r="F5" s="10"/>
      <c r="G5" s="10"/>
      <c r="H5" s="10"/>
      <c r="I5" s="10"/>
      <c r="J5" s="10"/>
      <c r="K5" s="10"/>
      <c r="L5" s="120"/>
    </row>
    <row r="6" spans="2:14" ht="12.75">
      <c r="B6" s="187"/>
      <c r="C6" s="188"/>
      <c r="D6" s="186" t="s">
        <v>5</v>
      </c>
      <c r="E6" s="121" t="s">
        <v>9</v>
      </c>
      <c r="F6" s="121" t="s">
        <v>10</v>
      </c>
      <c r="G6" s="121" t="s">
        <v>4</v>
      </c>
      <c r="H6" s="121" t="s">
        <v>11</v>
      </c>
      <c r="I6" s="121" t="s">
        <v>41</v>
      </c>
      <c r="J6" s="121" t="s">
        <v>39</v>
      </c>
      <c r="K6" s="121" t="s">
        <v>12</v>
      </c>
      <c r="L6" s="122" t="s">
        <v>42</v>
      </c>
      <c r="M6" s="110"/>
      <c r="N6" s="123" t="s">
        <v>40</v>
      </c>
    </row>
    <row r="7" spans="2:14" s="90" customFormat="1" ht="12.75">
      <c r="B7" s="113"/>
      <c r="C7" s="15"/>
      <c r="D7" s="91"/>
      <c r="E7" s="91"/>
      <c r="F7" s="91"/>
      <c r="G7" s="91"/>
      <c r="H7" s="91"/>
      <c r="I7" s="91"/>
      <c r="J7" s="91"/>
      <c r="K7" s="91"/>
      <c r="L7" s="92"/>
      <c r="M7" s="46"/>
      <c r="N7" s="124"/>
    </row>
    <row r="8" spans="2:14" ht="18" customHeight="1">
      <c r="B8" s="125" t="s">
        <v>130</v>
      </c>
      <c r="C8" s="10"/>
      <c r="D8" s="11"/>
      <c r="E8" s="11"/>
      <c r="F8" s="11"/>
      <c r="G8" s="11"/>
      <c r="H8" s="11">
        <v>173456</v>
      </c>
      <c r="I8" s="11">
        <v>-160978</v>
      </c>
      <c r="J8" s="11">
        <v>-452899</v>
      </c>
      <c r="K8" s="11"/>
      <c r="L8" s="11">
        <f>SUM(D8:K8)</f>
        <v>-440421</v>
      </c>
      <c r="M8" s="28"/>
      <c r="N8" s="126">
        <f>+'[2]PL_QTRSep03'!N19</f>
        <v>3549511</v>
      </c>
    </row>
    <row r="9" spans="2:14" ht="12.75" hidden="1">
      <c r="B9" s="125" t="s">
        <v>63</v>
      </c>
      <c r="C9" s="10"/>
      <c r="D9" s="11"/>
      <c r="E9" s="11"/>
      <c r="F9" s="11"/>
      <c r="G9" s="11"/>
      <c r="H9" s="11"/>
      <c r="I9" s="11"/>
      <c r="J9" s="11"/>
      <c r="K9" s="11"/>
      <c r="L9" s="11">
        <f>SUM(E9:K9)</f>
        <v>0</v>
      </c>
      <c r="M9" s="28"/>
      <c r="N9" s="126"/>
    </row>
    <row r="10" spans="2:14" ht="12.75" hidden="1">
      <c r="B10" s="125"/>
      <c r="C10" s="13" t="s">
        <v>1</v>
      </c>
      <c r="D10" s="11"/>
      <c r="E10" s="11">
        <v>443784</v>
      </c>
      <c r="F10" s="11">
        <v>93270</v>
      </c>
      <c r="G10" s="11">
        <v>202</v>
      </c>
      <c r="H10" s="11">
        <v>146810</v>
      </c>
      <c r="I10" s="11">
        <v>117369</v>
      </c>
      <c r="J10" s="11"/>
      <c r="K10" s="11"/>
      <c r="L10" s="11">
        <f>SUM(D10:K10)</f>
        <v>801435</v>
      </c>
      <c r="M10" s="28"/>
      <c r="N10" s="126">
        <f>+L10</f>
        <v>801435</v>
      </c>
    </row>
    <row r="11" spans="2:14" ht="12.75" hidden="1">
      <c r="B11" s="125"/>
      <c r="C11" s="13" t="s">
        <v>2</v>
      </c>
      <c r="D11" s="11"/>
      <c r="E11" s="11">
        <v>238916</v>
      </c>
      <c r="F11" s="11">
        <v>5815</v>
      </c>
      <c r="G11" s="11"/>
      <c r="H11" s="11">
        <v>54804</v>
      </c>
      <c r="I11" s="11">
        <v>17594</v>
      </c>
      <c r="J11" s="11"/>
      <c r="K11" s="11"/>
      <c r="L11" s="11">
        <f>SUM(D11:K11)</f>
        <v>317129</v>
      </c>
      <c r="M11" s="28"/>
      <c r="N11" s="126">
        <f>+L11</f>
        <v>317129</v>
      </c>
    </row>
    <row r="12" spans="2:14" ht="12.75" hidden="1">
      <c r="B12" s="125"/>
      <c r="C12" s="13" t="s">
        <v>64</v>
      </c>
      <c r="D12" s="11">
        <v>-3277</v>
      </c>
      <c r="E12" s="11">
        <v>-59126</v>
      </c>
      <c r="F12" s="11"/>
      <c r="G12" s="11"/>
      <c r="H12" s="11">
        <v>-4415</v>
      </c>
      <c r="I12" s="11">
        <v>-1859</v>
      </c>
      <c r="J12" s="11"/>
      <c r="K12" s="11"/>
      <c r="L12" s="11">
        <f>SUM(D12:K12)</f>
        <v>-68677</v>
      </c>
      <c r="M12" s="28"/>
      <c r="N12" s="126">
        <f>+L12</f>
        <v>-68677</v>
      </c>
    </row>
    <row r="13" spans="2:14" ht="12.75" hidden="1">
      <c r="B13" s="125"/>
      <c r="C13" s="13" t="s">
        <v>65</v>
      </c>
      <c r="D13" s="11"/>
      <c r="E13" s="11"/>
      <c r="F13" s="11"/>
      <c r="G13" s="11"/>
      <c r="H13" s="11"/>
      <c r="I13" s="11"/>
      <c r="J13" s="11"/>
      <c r="K13" s="11"/>
      <c r="L13" s="11">
        <f>SUM(D13:K13)</f>
        <v>0</v>
      </c>
      <c r="M13" s="28"/>
      <c r="N13" s="126">
        <f>-'[2]PL_QTRSep03'!N16</f>
        <v>-105815</v>
      </c>
    </row>
    <row r="14" spans="2:14" ht="12.75" hidden="1">
      <c r="B14" s="125"/>
      <c r="C14" s="13" t="s">
        <v>66</v>
      </c>
      <c r="D14" s="11"/>
      <c r="E14" s="11"/>
      <c r="F14" s="11"/>
      <c r="G14" s="11"/>
      <c r="H14" s="11"/>
      <c r="I14" s="11"/>
      <c r="J14" s="11"/>
      <c r="K14" s="11"/>
      <c r="L14" s="11">
        <f>SUM(D14:K14)</f>
        <v>0</v>
      </c>
      <c r="M14" s="28"/>
      <c r="N14" s="126"/>
    </row>
    <row r="15" spans="2:14" ht="12.75" hidden="1">
      <c r="B15" s="125"/>
      <c r="C15" s="13" t="s">
        <v>67</v>
      </c>
      <c r="D15" s="11"/>
      <c r="E15" s="11"/>
      <c r="F15" s="11"/>
      <c r="G15" s="11"/>
      <c r="H15" s="11">
        <v>0</v>
      </c>
      <c r="I15" s="11"/>
      <c r="J15" s="11"/>
      <c r="K15" s="11"/>
      <c r="L15" s="11">
        <f>SUM(E15:K15)</f>
        <v>0</v>
      </c>
      <c r="M15" s="28"/>
      <c r="N15" s="126"/>
    </row>
    <row r="16" spans="2:14" ht="12.75" hidden="1">
      <c r="B16" s="125"/>
      <c r="C16" s="13" t="s">
        <v>68</v>
      </c>
      <c r="D16" s="11"/>
      <c r="E16" s="11"/>
      <c r="F16" s="11"/>
      <c r="G16" s="11"/>
      <c r="H16" s="11">
        <v>0</v>
      </c>
      <c r="I16" s="11"/>
      <c r="J16" s="11"/>
      <c r="K16" s="11"/>
      <c r="L16" s="11">
        <f>SUM(E16:K16)</f>
        <v>0</v>
      </c>
      <c r="M16" s="28"/>
      <c r="N16" s="126"/>
    </row>
    <row r="17" spans="2:14" ht="12.75" hidden="1">
      <c r="B17" s="125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28"/>
      <c r="N17" s="126"/>
    </row>
    <row r="18" spans="2:14" ht="12.75" hidden="1">
      <c r="B18" s="125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28"/>
      <c r="N18" s="127"/>
    </row>
    <row r="19" spans="2:14" ht="12.75" hidden="1">
      <c r="B19" s="125"/>
      <c r="C19" s="13" t="s">
        <v>69</v>
      </c>
      <c r="D19" s="12">
        <f>SUM(D8:D16)</f>
        <v>-3277</v>
      </c>
      <c r="E19" s="12">
        <f>SUM(E8:E16)</f>
        <v>623574</v>
      </c>
      <c r="F19" s="12">
        <f>SUM(F8:F16)</f>
        <v>99085</v>
      </c>
      <c r="G19" s="12">
        <f>SUM(G8:G16)</f>
        <v>202</v>
      </c>
      <c r="H19" s="12">
        <f>SUM(H8:H16)</f>
        <v>370655</v>
      </c>
      <c r="I19" s="12"/>
      <c r="J19" s="12"/>
      <c r="K19" s="12">
        <f>SUM(K8:K16)</f>
        <v>0</v>
      </c>
      <c r="L19" s="12">
        <f>SUM(L8:L16)</f>
        <v>609466</v>
      </c>
      <c r="M19" s="28"/>
      <c r="N19" s="126">
        <f>SUM(N8:N17)</f>
        <v>4493583</v>
      </c>
    </row>
    <row r="20" spans="2:14" ht="12.75" hidden="1">
      <c r="B20" s="125"/>
      <c r="C20" s="28"/>
      <c r="D20" s="11"/>
      <c r="E20" s="11"/>
      <c r="F20" s="11"/>
      <c r="G20" s="11"/>
      <c r="H20" s="11"/>
      <c r="I20" s="11"/>
      <c r="J20" s="11"/>
      <c r="K20" s="11"/>
      <c r="L20" s="11"/>
      <c r="M20" s="28"/>
      <c r="N20" s="126"/>
    </row>
    <row r="21" spans="2:14" ht="12.75" hidden="1">
      <c r="B21" s="125"/>
      <c r="C21" s="49" t="s">
        <v>70</v>
      </c>
      <c r="D21" s="11">
        <v>0</v>
      </c>
      <c r="E21" s="11"/>
      <c r="F21" s="11"/>
      <c r="G21" s="11"/>
      <c r="H21" s="11">
        <v>162484</v>
      </c>
      <c r="I21" s="11"/>
      <c r="J21" s="11"/>
      <c r="K21" s="11"/>
      <c r="L21" s="11">
        <f>SUM(E21:K21)</f>
        <v>162484</v>
      </c>
      <c r="M21" s="28"/>
      <c r="N21" s="126">
        <f>+'[2]BS_Sep03'!S16-'[2]BS_Sep03'!L16</f>
        <v>-79203</v>
      </c>
    </row>
    <row r="22" spans="2:14" ht="12.75" hidden="1">
      <c r="B22" s="125"/>
      <c r="C22" s="49" t="s">
        <v>71</v>
      </c>
      <c r="D22" s="11"/>
      <c r="E22" s="11"/>
      <c r="F22" s="11"/>
      <c r="G22" s="11"/>
      <c r="H22" s="11">
        <v>158383</v>
      </c>
      <c r="I22" s="11"/>
      <c r="J22" s="11"/>
      <c r="K22" s="11"/>
      <c r="L22" s="11">
        <f>SUM(E22:K22)</f>
        <v>158383</v>
      </c>
      <c r="M22" s="28"/>
      <c r="N22" s="126">
        <f>+'[2]BS_Sep03'!S17+'[2]BS_Sep03'!S18-'[2]BS_Sep03'!L17-'[2]BS_Sep03'!L18-2073901</f>
        <v>-995424</v>
      </c>
    </row>
    <row r="23" spans="2:14" ht="12.75" hidden="1">
      <c r="B23" s="125"/>
      <c r="C23" s="49" t="s">
        <v>72</v>
      </c>
      <c r="D23" s="11">
        <v>4836</v>
      </c>
      <c r="E23" s="47"/>
      <c r="F23" s="11"/>
      <c r="G23" s="11"/>
      <c r="H23" s="11">
        <v>-484033</v>
      </c>
      <c r="I23" s="11"/>
      <c r="J23" s="27"/>
      <c r="K23" s="27"/>
      <c r="L23" s="27">
        <f>SUM(D23:K23)</f>
        <v>-479197</v>
      </c>
      <c r="M23" s="28"/>
      <c r="N23" s="189">
        <f>+'[2]BS_Sep03'!L26+'[2]BS_Sep03'!L27-'[2]BS_Sep03'!S26-'[2]BS_Sep03'!S27-8401340</f>
        <v>-8920762</v>
      </c>
    </row>
    <row r="24" spans="2:14" ht="12.75" hidden="1">
      <c r="B24" s="125"/>
      <c r="C24" s="49"/>
      <c r="D24" s="27"/>
      <c r="E24" s="51"/>
      <c r="F24" s="27"/>
      <c r="G24" s="27"/>
      <c r="H24" s="27"/>
      <c r="I24" s="27"/>
      <c r="J24" s="11"/>
      <c r="K24" s="11"/>
      <c r="L24" s="11"/>
      <c r="M24" s="28"/>
      <c r="N24" s="190"/>
    </row>
    <row r="25" spans="2:14" ht="12.75" hidden="1">
      <c r="B25" s="113"/>
      <c r="C25" s="15" t="s">
        <v>73</v>
      </c>
      <c r="D25" s="11">
        <f aca="true" t="shared" si="0" ref="D25:L25">SUM(D21:D23)</f>
        <v>4836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>SUM(H21:H23)</f>
        <v>-163166</v>
      </c>
      <c r="I25" s="11"/>
      <c r="J25" s="11"/>
      <c r="K25" s="11">
        <f>SUM(K21:K23)</f>
        <v>0</v>
      </c>
      <c r="L25" s="11">
        <f t="shared" si="0"/>
        <v>-158330</v>
      </c>
      <c r="M25" s="28"/>
      <c r="N25" s="128">
        <f>SUM(N19:N23)</f>
        <v>-5501806</v>
      </c>
    </row>
    <row r="26" spans="2:14" ht="12.75" hidden="1">
      <c r="B26" s="113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28"/>
      <c r="N26" s="126"/>
    </row>
    <row r="27" spans="2:14" ht="12.75" hidden="1">
      <c r="B27" s="113"/>
      <c r="C27" s="15" t="s">
        <v>74</v>
      </c>
      <c r="D27" s="11"/>
      <c r="E27" s="11"/>
      <c r="F27" s="11"/>
      <c r="G27" s="11"/>
      <c r="H27" s="11">
        <v>112441</v>
      </c>
      <c r="I27" s="11"/>
      <c r="J27" s="11"/>
      <c r="K27" s="11"/>
      <c r="L27" s="11">
        <f>SUM(D27:K27)</f>
        <v>112441</v>
      </c>
      <c r="M27" s="28"/>
      <c r="N27" s="126">
        <f>-'[2]BS_Sep03'!L20+'[2]BS_Sep03'!S20</f>
        <v>112441</v>
      </c>
    </row>
    <row r="28" spans="2:14" ht="12.75" hidden="1">
      <c r="B28" s="113"/>
      <c r="C28" s="15" t="s">
        <v>75</v>
      </c>
      <c r="D28" s="11"/>
      <c r="E28" s="47"/>
      <c r="F28" s="11"/>
      <c r="G28" s="11"/>
      <c r="H28" s="11">
        <f>-H11</f>
        <v>-54804</v>
      </c>
      <c r="I28" s="11"/>
      <c r="J28" s="11"/>
      <c r="K28" s="11"/>
      <c r="L28" s="11">
        <f>SUM(D28:K28)</f>
        <v>-54804</v>
      </c>
      <c r="M28" s="28"/>
      <c r="N28" s="126">
        <f>+L28</f>
        <v>-54804</v>
      </c>
    </row>
    <row r="29" spans="2:14" ht="12.75">
      <c r="B29" s="113"/>
      <c r="C29" s="15"/>
      <c r="D29" s="11"/>
      <c r="E29" s="47"/>
      <c r="F29" s="11"/>
      <c r="G29" s="11"/>
      <c r="H29" s="11"/>
      <c r="I29" s="11"/>
      <c r="J29" s="11"/>
      <c r="K29" s="11"/>
      <c r="L29" s="11"/>
      <c r="M29" s="28"/>
      <c r="N29" s="126"/>
    </row>
    <row r="30" spans="2:14" ht="18" customHeight="1">
      <c r="B30" s="113" t="s">
        <v>76</v>
      </c>
      <c r="C30" s="16"/>
      <c r="D30" s="17">
        <f aca="true" t="shared" si="1" ref="D30:K30">SUM(D25:D28)</f>
        <v>4836</v>
      </c>
      <c r="E30" s="17">
        <f t="shared" si="1"/>
        <v>0</v>
      </c>
      <c r="F30" s="17">
        <f t="shared" si="1"/>
        <v>0</v>
      </c>
      <c r="G30" s="17">
        <f t="shared" si="1"/>
        <v>0</v>
      </c>
      <c r="H30" s="17">
        <f t="shared" si="1"/>
        <v>-105529</v>
      </c>
      <c r="I30" s="17"/>
      <c r="J30" s="17"/>
      <c r="K30" s="17">
        <f t="shared" si="1"/>
        <v>0</v>
      </c>
      <c r="L30" s="17">
        <f>SUM(L25:L28)</f>
        <v>-100693</v>
      </c>
      <c r="M30" s="28"/>
      <c r="N30" s="129">
        <f>SUM(N25:N29)</f>
        <v>-5444169</v>
      </c>
    </row>
    <row r="31" spans="2:14" ht="12.75">
      <c r="B31" s="115"/>
      <c r="C31" s="16"/>
      <c r="D31" s="11"/>
      <c r="E31" s="11"/>
      <c r="F31" s="11"/>
      <c r="G31" s="11"/>
      <c r="H31" s="11"/>
      <c r="I31" s="11"/>
      <c r="J31" s="11"/>
      <c r="K31" s="11"/>
      <c r="L31" s="11"/>
      <c r="M31" s="28"/>
      <c r="N31" s="126"/>
    </row>
    <row r="32" spans="2:14" ht="12.75" hidden="1">
      <c r="B32" s="113"/>
      <c r="C32" s="16"/>
      <c r="D32" s="11"/>
      <c r="E32" s="11"/>
      <c r="F32" s="11"/>
      <c r="G32" s="11"/>
      <c r="H32" s="11"/>
      <c r="I32" s="11"/>
      <c r="J32" s="11"/>
      <c r="K32" s="11"/>
      <c r="L32" s="11"/>
      <c r="M32" s="28"/>
      <c r="N32" s="126"/>
    </row>
    <row r="33" spans="2:14" ht="12.75" hidden="1">
      <c r="B33" s="113" t="s">
        <v>77</v>
      </c>
      <c r="C33" s="16"/>
      <c r="D33" s="11"/>
      <c r="E33" s="11"/>
      <c r="F33" s="11"/>
      <c r="G33" s="11"/>
      <c r="H33" s="11"/>
      <c r="I33" s="11"/>
      <c r="J33" s="11"/>
      <c r="K33" s="11"/>
      <c r="L33" s="11"/>
      <c r="M33" s="28"/>
      <c r="N33" s="126"/>
    </row>
    <row r="34" spans="2:14" ht="12.75" hidden="1">
      <c r="B34" s="113"/>
      <c r="C34" s="15" t="s">
        <v>78</v>
      </c>
      <c r="D34" s="11"/>
      <c r="E34" s="11"/>
      <c r="F34" s="11"/>
      <c r="G34" s="11"/>
      <c r="H34" s="11"/>
      <c r="I34" s="11"/>
      <c r="J34" s="11"/>
      <c r="K34" s="11"/>
      <c r="L34" s="11"/>
      <c r="M34" s="28"/>
      <c r="N34" s="126"/>
    </row>
    <row r="35" spans="2:14" ht="12.75" hidden="1">
      <c r="B35" s="113"/>
      <c r="C35" s="15" t="s">
        <v>98</v>
      </c>
      <c r="D35" s="11"/>
      <c r="E35" s="11"/>
      <c r="F35" s="11"/>
      <c r="G35" s="11"/>
      <c r="H35" s="11"/>
      <c r="I35" s="11"/>
      <c r="J35" s="11"/>
      <c r="K35" s="11"/>
      <c r="L35" s="11">
        <f aca="true" t="shared" si="2" ref="L35:L41">SUM(D35:K35)</f>
        <v>0</v>
      </c>
      <c r="M35" s="28"/>
      <c r="N35" s="126"/>
    </row>
    <row r="36" spans="2:14" ht="12.75" hidden="1">
      <c r="B36" s="113"/>
      <c r="C36" s="13" t="s">
        <v>79</v>
      </c>
      <c r="D36" s="11"/>
      <c r="E36" s="11"/>
      <c r="F36" s="11"/>
      <c r="G36" s="11"/>
      <c r="H36" s="11"/>
      <c r="I36" s="11"/>
      <c r="J36" s="11"/>
      <c r="K36" s="11"/>
      <c r="L36" s="11">
        <f t="shared" si="2"/>
        <v>0</v>
      </c>
      <c r="M36" s="28"/>
      <c r="N36" s="126"/>
    </row>
    <row r="37" spans="2:14" ht="12.75" hidden="1">
      <c r="B37" s="113"/>
      <c r="C37" s="13" t="s">
        <v>139</v>
      </c>
      <c r="D37" s="11"/>
      <c r="E37" s="11"/>
      <c r="F37" s="11"/>
      <c r="G37" s="11"/>
      <c r="H37" s="11"/>
      <c r="I37" s="11"/>
      <c r="J37" s="11"/>
      <c r="K37" s="11"/>
      <c r="L37" s="11"/>
      <c r="M37" s="28"/>
      <c r="N37" s="126"/>
    </row>
    <row r="38" spans="2:14" ht="12.75" hidden="1">
      <c r="B38" s="113"/>
      <c r="C38" s="13" t="s">
        <v>138</v>
      </c>
      <c r="D38" s="11"/>
      <c r="E38" s="11"/>
      <c r="F38" s="11"/>
      <c r="G38" s="11"/>
      <c r="H38" s="11"/>
      <c r="I38" s="11"/>
      <c r="J38" s="11"/>
      <c r="K38" s="11"/>
      <c r="L38" s="11"/>
      <c r="M38" s="28"/>
      <c r="N38" s="126"/>
    </row>
    <row r="39" spans="2:14" ht="12.75" hidden="1">
      <c r="B39" s="113"/>
      <c r="C39" s="15" t="s">
        <v>80</v>
      </c>
      <c r="D39" s="11">
        <v>3277</v>
      </c>
      <c r="E39" s="11">
        <v>59126</v>
      </c>
      <c r="F39" s="11"/>
      <c r="G39" s="11"/>
      <c r="H39" s="11">
        <v>4415</v>
      </c>
      <c r="I39" s="11"/>
      <c r="J39" s="11"/>
      <c r="K39" s="11"/>
      <c r="L39" s="11">
        <f t="shared" si="2"/>
        <v>66818</v>
      </c>
      <c r="M39" s="28"/>
      <c r="N39" s="126">
        <f>+L39</f>
        <v>66818</v>
      </c>
    </row>
    <row r="40" spans="2:14" ht="12.75" hidden="1">
      <c r="B40" s="113"/>
      <c r="C40" s="15" t="s">
        <v>81</v>
      </c>
      <c r="D40" s="11"/>
      <c r="E40" s="11">
        <v>-997330</v>
      </c>
      <c r="F40" s="11"/>
      <c r="G40" s="11"/>
      <c r="H40" s="11"/>
      <c r="I40" s="11">
        <v>-284201</v>
      </c>
      <c r="J40" s="11"/>
      <c r="K40" s="11"/>
      <c r="L40" s="11">
        <f t="shared" si="2"/>
        <v>-1281531</v>
      </c>
      <c r="M40" s="28"/>
      <c r="N40" s="126">
        <f>+L40</f>
        <v>-1281531</v>
      </c>
    </row>
    <row r="41" spans="2:14" ht="12.75" hidden="1">
      <c r="B41" s="113"/>
      <c r="C41" s="15" t="s">
        <v>82</v>
      </c>
      <c r="D41" s="11"/>
      <c r="E41" s="11"/>
      <c r="F41" s="11"/>
      <c r="G41" s="11"/>
      <c r="H41" s="11"/>
      <c r="I41" s="11"/>
      <c r="J41" s="11"/>
      <c r="K41" s="11"/>
      <c r="L41" s="11">
        <f t="shared" si="2"/>
        <v>0</v>
      </c>
      <c r="M41" s="28"/>
      <c r="N41" s="126">
        <v>0</v>
      </c>
    </row>
    <row r="42" spans="2:14" ht="12.75" hidden="1">
      <c r="B42" s="113"/>
      <c r="C42" s="15"/>
      <c r="D42" s="11"/>
      <c r="E42" s="11"/>
      <c r="F42" s="11"/>
      <c r="G42" s="11"/>
      <c r="H42" s="11"/>
      <c r="I42" s="11"/>
      <c r="J42" s="11"/>
      <c r="K42" s="11"/>
      <c r="L42" s="11">
        <f>SUM(D42:K42)</f>
        <v>0</v>
      </c>
      <c r="M42" s="28"/>
      <c r="N42" s="126"/>
    </row>
    <row r="43" spans="2:14" ht="18" customHeight="1">
      <c r="B43" s="125" t="s">
        <v>83</v>
      </c>
      <c r="C43" s="10"/>
      <c r="D43" s="17">
        <f aca="true" t="shared" si="3" ref="D43:L43">SUM(D34:D42)</f>
        <v>3277</v>
      </c>
      <c r="E43" s="17">
        <f t="shared" si="3"/>
        <v>-938204</v>
      </c>
      <c r="F43" s="17">
        <f t="shared" si="3"/>
        <v>0</v>
      </c>
      <c r="G43" s="17">
        <f t="shared" si="3"/>
        <v>0</v>
      </c>
      <c r="H43" s="17">
        <f t="shared" si="3"/>
        <v>4415</v>
      </c>
      <c r="I43" s="17"/>
      <c r="J43" s="17"/>
      <c r="K43" s="17">
        <f t="shared" si="3"/>
        <v>0</v>
      </c>
      <c r="L43" s="17">
        <f t="shared" si="3"/>
        <v>-1214713</v>
      </c>
      <c r="M43" s="28"/>
      <c r="N43" s="129">
        <f>SUM(N34:N42)</f>
        <v>-1214713</v>
      </c>
    </row>
    <row r="44" spans="2:14" ht="12.75">
      <c r="B44" s="125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28"/>
      <c r="N44" s="126"/>
    </row>
    <row r="45" spans="2:14" ht="12.75" hidden="1">
      <c r="B45" s="125" t="s">
        <v>84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28"/>
      <c r="N45" s="126"/>
    </row>
    <row r="46" spans="2:14" ht="12.75" hidden="1">
      <c r="B46" s="125"/>
      <c r="C46" s="13" t="s">
        <v>85</v>
      </c>
      <c r="D46" s="21"/>
      <c r="E46" s="11">
        <v>-7494340</v>
      </c>
      <c r="F46" s="11">
        <v>-346000</v>
      </c>
      <c r="G46" s="11">
        <v>-63000</v>
      </c>
      <c r="H46" s="11">
        <v>-498000</v>
      </c>
      <c r="I46" s="21"/>
      <c r="J46" s="21"/>
      <c r="K46" s="11"/>
      <c r="L46" s="11">
        <f aca="true" t="shared" si="4" ref="L46:L52">SUM(D46:K46)</f>
        <v>-8401340</v>
      </c>
      <c r="M46" s="28"/>
      <c r="N46" s="126"/>
    </row>
    <row r="47" spans="2:14" ht="12.75" hidden="1">
      <c r="B47" s="125"/>
      <c r="C47" s="13" t="s">
        <v>75</v>
      </c>
      <c r="D47" s="11"/>
      <c r="E47" s="11">
        <v>-238916</v>
      </c>
      <c r="F47" s="11">
        <v>-5815</v>
      </c>
      <c r="G47" s="11"/>
      <c r="H47" s="11"/>
      <c r="I47" s="11"/>
      <c r="J47" s="11"/>
      <c r="K47" s="11"/>
      <c r="L47" s="11">
        <f t="shared" si="4"/>
        <v>-244731</v>
      </c>
      <c r="M47" s="28"/>
      <c r="N47" s="126">
        <f>+L47</f>
        <v>-244731</v>
      </c>
    </row>
    <row r="48" spans="2:14" ht="12.75" hidden="1">
      <c r="B48" s="125"/>
      <c r="C48" s="13" t="s">
        <v>109</v>
      </c>
      <c r="D48" s="11"/>
      <c r="E48" s="11"/>
      <c r="F48" s="11"/>
      <c r="G48" s="11"/>
      <c r="H48" s="11"/>
      <c r="I48" s="11"/>
      <c r="J48" s="11"/>
      <c r="K48" s="11"/>
      <c r="L48" s="11"/>
      <c r="M48" s="28"/>
      <c r="N48" s="126">
        <v>6835518</v>
      </c>
    </row>
    <row r="49" spans="2:14" ht="12.75" hidden="1">
      <c r="B49" s="125"/>
      <c r="C49" s="13" t="s">
        <v>86</v>
      </c>
      <c r="D49" s="11"/>
      <c r="E49" s="11"/>
      <c r="F49" s="11"/>
      <c r="G49" s="11"/>
      <c r="H49" s="11">
        <v>-89284</v>
      </c>
      <c r="I49" s="11"/>
      <c r="J49" s="11"/>
      <c r="K49" s="11"/>
      <c r="L49" s="11">
        <f t="shared" si="4"/>
        <v>-89284</v>
      </c>
      <c r="M49" s="28"/>
      <c r="N49" s="126">
        <f>+'[2]BS_Sep03'!L50-'[2]BS_Sep03'!S50</f>
        <v>-291243</v>
      </c>
    </row>
    <row r="50" spans="2:14" ht="12.75" hidden="1">
      <c r="B50" s="125"/>
      <c r="C50" s="13" t="s">
        <v>87</v>
      </c>
      <c r="D50" s="11"/>
      <c r="E50" s="11"/>
      <c r="F50" s="11"/>
      <c r="G50" s="11"/>
      <c r="H50" s="11">
        <v>361900</v>
      </c>
      <c r="I50" s="11"/>
      <c r="J50" s="11"/>
      <c r="K50" s="11"/>
      <c r="L50" s="11">
        <f t="shared" si="4"/>
        <v>361900</v>
      </c>
      <c r="M50" s="28"/>
      <c r="N50" s="126">
        <f>+'[2]BS_Sep03'!L29-'[2]BS_Sep03'!S29</f>
        <v>1941528</v>
      </c>
    </row>
    <row r="51" spans="2:14" ht="12.75" hidden="1">
      <c r="B51" s="125"/>
      <c r="C51" s="13" t="s">
        <v>88</v>
      </c>
      <c r="D51" s="11"/>
      <c r="E51" s="11"/>
      <c r="F51" s="11"/>
      <c r="G51" s="11"/>
      <c r="H51" s="11">
        <v>-7336</v>
      </c>
      <c r="I51" s="11"/>
      <c r="J51" s="11"/>
      <c r="K51" s="11"/>
      <c r="L51" s="11">
        <f t="shared" si="4"/>
        <v>-7336</v>
      </c>
      <c r="M51" s="28"/>
      <c r="N51" s="126">
        <f>+'[2]BS_Sep03'!L49-'[2]BS_Sep03'!S49</f>
        <v>3263478</v>
      </c>
    </row>
    <row r="52" spans="2:14" ht="12.75" hidden="1">
      <c r="B52" s="125"/>
      <c r="C52" s="10"/>
      <c r="D52" s="11"/>
      <c r="E52" s="11"/>
      <c r="F52" s="11"/>
      <c r="G52" s="11"/>
      <c r="H52" s="11"/>
      <c r="I52" s="11"/>
      <c r="J52" s="11"/>
      <c r="K52" s="11"/>
      <c r="L52" s="11">
        <f t="shared" si="4"/>
        <v>0</v>
      </c>
      <c r="M52" s="28"/>
      <c r="N52" s="126"/>
    </row>
    <row r="53" spans="2:14" ht="18" customHeight="1">
      <c r="B53" s="125" t="s">
        <v>140</v>
      </c>
      <c r="C53" s="10"/>
      <c r="D53" s="17">
        <f aca="true" t="shared" si="5" ref="D53:L53">SUM(D46:D51)</f>
        <v>0</v>
      </c>
      <c r="E53" s="17">
        <f t="shared" si="5"/>
        <v>-7733256</v>
      </c>
      <c r="F53" s="17">
        <f t="shared" si="5"/>
        <v>-351815</v>
      </c>
      <c r="G53" s="17">
        <f t="shared" si="5"/>
        <v>-63000</v>
      </c>
      <c r="H53" s="17">
        <f t="shared" si="5"/>
        <v>-232720</v>
      </c>
      <c r="I53" s="17"/>
      <c r="J53" s="17"/>
      <c r="K53" s="17">
        <f t="shared" si="5"/>
        <v>0</v>
      </c>
      <c r="L53" s="17">
        <f t="shared" si="5"/>
        <v>-8380791</v>
      </c>
      <c r="M53" s="28"/>
      <c r="N53" s="129">
        <f>SUM(N46:N51)</f>
        <v>11504550</v>
      </c>
    </row>
    <row r="54" spans="2:14" ht="12.75">
      <c r="B54" s="125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28"/>
      <c r="N54" s="126"/>
    </row>
    <row r="55" spans="2:14" ht="18" customHeight="1">
      <c r="B55" s="130" t="s">
        <v>89</v>
      </c>
      <c r="C55" s="13"/>
      <c r="D55" s="11">
        <f>+D19+D30+D43+D53</f>
        <v>4836</v>
      </c>
      <c r="E55" s="11">
        <f>+E19+E30+E43+E53</f>
        <v>-8047886</v>
      </c>
      <c r="F55" s="11">
        <f>+F19+F30+F43+F53</f>
        <v>-252730</v>
      </c>
      <c r="G55" s="11">
        <f>+G19+G30+G43+G53</f>
        <v>-62798</v>
      </c>
      <c r="H55" s="11">
        <f>+H19+H30+H43+H53</f>
        <v>36821</v>
      </c>
      <c r="I55" s="11"/>
      <c r="J55" s="11"/>
      <c r="K55" s="11"/>
      <c r="L55" s="11">
        <f>+L19+L30+L43+L53</f>
        <v>-9086731</v>
      </c>
      <c r="M55" s="28"/>
      <c r="N55" s="126">
        <f>+N53+N43+N30</f>
        <v>4845668</v>
      </c>
    </row>
    <row r="56" spans="2:14" ht="18" customHeight="1">
      <c r="B56" s="130" t="s">
        <v>90</v>
      </c>
      <c r="C56" s="13"/>
      <c r="D56" s="11"/>
      <c r="E56" s="11">
        <v>5808025</v>
      </c>
      <c r="F56" s="11">
        <v>500065</v>
      </c>
      <c r="G56" s="11">
        <v>155188</v>
      </c>
      <c r="H56" s="11">
        <v>-193911</v>
      </c>
      <c r="I56" s="11"/>
      <c r="J56" s="11"/>
      <c r="K56" s="11"/>
      <c r="L56" s="11">
        <f>SUM(D56:K56)</f>
        <v>6269367</v>
      </c>
      <c r="M56" s="28"/>
      <c r="N56" s="131">
        <v>4949635</v>
      </c>
    </row>
    <row r="57" spans="2:14" ht="18" customHeight="1">
      <c r="B57" s="125" t="s">
        <v>91</v>
      </c>
      <c r="C57" s="10"/>
      <c r="D57" s="11"/>
      <c r="E57" s="11">
        <v>38880</v>
      </c>
      <c r="F57" s="11"/>
      <c r="G57" s="11"/>
      <c r="H57" s="11"/>
      <c r="I57" s="11"/>
      <c r="J57" s="11"/>
      <c r="K57" s="11"/>
      <c r="L57" s="11">
        <f>SUM(D57:K57)</f>
        <v>38880</v>
      </c>
      <c r="M57" s="28"/>
      <c r="N57" s="126">
        <v>-139132</v>
      </c>
    </row>
    <row r="58" spans="2:14" ht="12.75">
      <c r="B58" s="125"/>
      <c r="C58" s="28"/>
      <c r="D58" s="11"/>
      <c r="E58" s="11"/>
      <c r="F58" s="11"/>
      <c r="G58" s="11"/>
      <c r="H58" s="11"/>
      <c r="I58" s="11"/>
      <c r="J58" s="11"/>
      <c r="K58" s="11"/>
      <c r="L58" s="11"/>
      <c r="M58" s="28"/>
      <c r="N58" s="126"/>
    </row>
    <row r="59" spans="2:14" ht="18" customHeight="1" thickBot="1">
      <c r="B59" s="132" t="s">
        <v>92</v>
      </c>
      <c r="C59" s="108"/>
      <c r="D59" s="20">
        <f aca="true" t="shared" si="6" ref="D59:L59">SUM(D55:D57)</f>
        <v>4836</v>
      </c>
      <c r="E59" s="20">
        <f>SUM(E55:E57)</f>
        <v>-2200981</v>
      </c>
      <c r="F59" s="20">
        <f t="shared" si="6"/>
        <v>247335</v>
      </c>
      <c r="G59" s="20">
        <f t="shared" si="6"/>
        <v>92390</v>
      </c>
      <c r="H59" s="20">
        <f t="shared" si="6"/>
        <v>-157090</v>
      </c>
      <c r="I59" s="20"/>
      <c r="J59" s="20"/>
      <c r="K59" s="20">
        <f t="shared" si="6"/>
        <v>0</v>
      </c>
      <c r="L59" s="20">
        <f t="shared" si="6"/>
        <v>-2778484</v>
      </c>
      <c r="M59" s="117"/>
      <c r="N59" s="133">
        <f>SUM(N55:N57)</f>
        <v>9656171</v>
      </c>
    </row>
    <row r="61" ht="13.5" thickBot="1"/>
    <row r="62" spans="2:14" ht="12.75">
      <c r="B62" s="109"/>
      <c r="C62" s="110"/>
      <c r="D62" s="111"/>
      <c r="E62" s="111"/>
      <c r="F62" s="111"/>
      <c r="G62" s="111"/>
      <c r="H62" s="111"/>
      <c r="I62" s="111"/>
      <c r="J62" s="111"/>
      <c r="K62" s="111"/>
      <c r="L62" s="112"/>
      <c r="M62" s="110"/>
      <c r="N62" s="134"/>
    </row>
    <row r="63" spans="2:14" ht="12.75">
      <c r="B63" s="113" t="s">
        <v>93</v>
      </c>
      <c r="C63" s="28"/>
      <c r="D63" s="10"/>
      <c r="E63" s="10"/>
      <c r="F63" s="10"/>
      <c r="G63" s="10"/>
      <c r="H63" s="10"/>
      <c r="I63" s="10"/>
      <c r="J63" s="10"/>
      <c r="K63" s="10"/>
      <c r="L63" s="114"/>
      <c r="M63" s="28"/>
      <c r="N63" s="126"/>
    </row>
    <row r="64" spans="2:14" ht="12.75">
      <c r="B64" s="115"/>
      <c r="C64" s="28"/>
      <c r="D64" s="10"/>
      <c r="E64" s="10"/>
      <c r="F64" s="10"/>
      <c r="G64" s="10"/>
      <c r="H64" s="10"/>
      <c r="I64" s="10"/>
      <c r="J64" s="10"/>
      <c r="K64" s="10"/>
      <c r="L64" s="114"/>
      <c r="M64" s="28"/>
      <c r="N64" s="126"/>
    </row>
    <row r="65" spans="2:14" ht="12.75">
      <c r="B65" s="115"/>
      <c r="C65" s="28" t="s">
        <v>94</v>
      </c>
      <c r="D65" s="10"/>
      <c r="E65" s="10">
        <v>670469</v>
      </c>
      <c r="F65" s="10"/>
      <c r="G65" s="10">
        <v>101607</v>
      </c>
      <c r="H65" s="10">
        <v>459311</v>
      </c>
      <c r="I65" s="10"/>
      <c r="J65" s="10"/>
      <c r="K65" s="10"/>
      <c r="L65" s="114">
        <f>SUM(E65:K65)</f>
        <v>1231387</v>
      </c>
      <c r="M65" s="28"/>
      <c r="N65" s="126">
        <f>+'[2]BS_Sep03'!L22</f>
        <v>1236809</v>
      </c>
    </row>
    <row r="66" spans="2:14" ht="12.75">
      <c r="B66" s="115"/>
      <c r="C66" s="28" t="s">
        <v>95</v>
      </c>
      <c r="D66" s="10"/>
      <c r="E66" s="10">
        <v>3637813</v>
      </c>
      <c r="F66" s="10">
        <v>54035</v>
      </c>
      <c r="G66" s="10">
        <v>304233</v>
      </c>
      <c r="H66" s="10">
        <v>18383</v>
      </c>
      <c r="I66" s="10"/>
      <c r="J66" s="10"/>
      <c r="K66" s="10"/>
      <c r="L66" s="114">
        <f>SUM(E66:K66)</f>
        <v>4014464</v>
      </c>
      <c r="M66" s="28"/>
      <c r="N66" s="126">
        <f>+'[2]BS_Sep03'!L23</f>
        <v>9476118</v>
      </c>
    </row>
    <row r="67" spans="2:14" ht="12.75" hidden="1">
      <c r="B67" s="115"/>
      <c r="C67" s="28" t="s">
        <v>97</v>
      </c>
      <c r="D67" s="10"/>
      <c r="E67" s="10">
        <v>600000</v>
      </c>
      <c r="F67" s="10"/>
      <c r="G67" s="10">
        <v>0</v>
      </c>
      <c r="H67" s="10">
        <v>0</v>
      </c>
      <c r="I67" s="10"/>
      <c r="J67" s="10"/>
      <c r="K67" s="10"/>
      <c r="L67" s="114">
        <f>SUM(E67:K67)</f>
        <v>600000</v>
      </c>
      <c r="M67" s="28"/>
      <c r="N67" s="126"/>
    </row>
    <row r="68" spans="2:14" ht="12.75">
      <c r="B68" s="115"/>
      <c r="C68" s="28" t="s">
        <v>96</v>
      </c>
      <c r="D68" s="10"/>
      <c r="E68" s="31">
        <v>0</v>
      </c>
      <c r="F68" s="31"/>
      <c r="G68" s="31">
        <v>0</v>
      </c>
      <c r="H68" s="31">
        <v>-634784</v>
      </c>
      <c r="I68" s="31"/>
      <c r="J68" s="31"/>
      <c r="K68" s="31"/>
      <c r="L68" s="52">
        <f>SUM(E68:K68)</f>
        <v>-634784</v>
      </c>
      <c r="M68" s="28"/>
      <c r="N68" s="127">
        <v>-831150</v>
      </c>
    </row>
    <row r="69" spans="2:14" ht="12.75">
      <c r="B69" s="115"/>
      <c r="C69" s="28"/>
      <c r="D69" s="10"/>
      <c r="E69" s="10">
        <f>SUM(E65:E68)</f>
        <v>4908282</v>
      </c>
      <c r="F69" s="10">
        <f>SUM(F65:F68)</f>
        <v>54035</v>
      </c>
      <c r="G69" s="10">
        <f>SUM(G65:G68)</f>
        <v>405840</v>
      </c>
      <c r="H69" s="10">
        <f>SUM(H65:H68)</f>
        <v>-157090</v>
      </c>
      <c r="I69" s="10"/>
      <c r="J69" s="10"/>
      <c r="K69" s="10"/>
      <c r="L69" s="10">
        <f>SUM(L65:L68)</f>
        <v>5211067</v>
      </c>
      <c r="M69" s="28"/>
      <c r="N69" s="126">
        <f>SUM(N65:N68)</f>
        <v>9881777</v>
      </c>
    </row>
    <row r="70" spans="2:14" ht="12.75">
      <c r="B70" s="115"/>
      <c r="C70" s="28" t="s">
        <v>99</v>
      </c>
      <c r="D70" s="10"/>
      <c r="E70" s="10">
        <v>-123004</v>
      </c>
      <c r="F70" s="10">
        <v>0</v>
      </c>
      <c r="G70" s="10">
        <v>-101607</v>
      </c>
      <c r="H70" s="10">
        <v>0</v>
      </c>
      <c r="I70" s="10"/>
      <c r="J70" s="10"/>
      <c r="K70" s="10"/>
      <c r="L70" s="10">
        <f>+E70+G70</f>
        <v>-224611</v>
      </c>
      <c r="M70" s="28"/>
      <c r="N70" s="126">
        <v>-225606</v>
      </c>
    </row>
    <row r="71" spans="2:14" ht="18" customHeight="1" thickBot="1">
      <c r="B71" s="116"/>
      <c r="C71" s="117"/>
      <c r="D71" s="118"/>
      <c r="E71" s="119">
        <f aca="true" t="shared" si="7" ref="E71:L71">SUM(E69:E70)</f>
        <v>4785278</v>
      </c>
      <c r="F71" s="119">
        <f t="shared" si="7"/>
        <v>54035</v>
      </c>
      <c r="G71" s="119">
        <f t="shared" si="7"/>
        <v>304233</v>
      </c>
      <c r="H71" s="119">
        <f t="shared" si="7"/>
        <v>-157090</v>
      </c>
      <c r="I71" s="119"/>
      <c r="J71" s="119"/>
      <c r="K71" s="119">
        <f t="shared" si="7"/>
        <v>0</v>
      </c>
      <c r="L71" s="119">
        <f t="shared" si="7"/>
        <v>4986456</v>
      </c>
      <c r="M71" s="117"/>
      <c r="N71" s="133">
        <f>SUM(N69:N70)</f>
        <v>9656171</v>
      </c>
    </row>
    <row r="72" spans="5:14" ht="12.75">
      <c r="E72" s="42">
        <f>+E71-E59</f>
        <v>6986259</v>
      </c>
      <c r="L72" s="8">
        <f>+L71-L59</f>
        <v>7764940</v>
      </c>
      <c r="N72" s="88">
        <f>+N71-N59</f>
        <v>0</v>
      </c>
    </row>
  </sheetData>
  <printOptions horizontalCentered="1"/>
  <pageMargins left="0.25" right="0.25" top="0.25" bottom="0.25" header="0" footer="0.1"/>
  <pageSetup fitToHeight="1" fitToWidth="1" orientation="landscape" paperSize="9" scale="80" r:id="rId1"/>
  <headerFooter alignWithMargins="0">
    <oddFooter>&amp;L&amp;D&amp;T&amp;R&amp;F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Furnweb Manufacturing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Furnweb Manufacturing Sdn Bhd</dc:creator>
  <cp:keywords/>
  <dc:description/>
  <cp:lastModifiedBy>Archer Corp</cp:lastModifiedBy>
  <cp:lastPrinted>2003-11-24T09:03:31Z</cp:lastPrinted>
  <dcterms:created xsi:type="dcterms:W3CDTF">2000-10-24T05:48:21Z</dcterms:created>
  <dcterms:modified xsi:type="dcterms:W3CDTF">2003-11-27T08:18:37Z</dcterms:modified>
  <cp:category/>
  <cp:version/>
  <cp:contentType/>
  <cp:contentStatus/>
</cp:coreProperties>
</file>